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BF93EC1D-398A-40E8-989D-197727E3C632}" xr6:coauthVersionLast="47" xr6:coauthVersionMax="47" xr10:uidLastSave="{00000000-0000-0000-0000-000000000000}"/>
  <workbookProtection workbookAlgorithmName="SHA-512" workbookHashValue="qsQSUS5qBc/QDOIVOow4HEGpn9Kl6AUjT7r+H6aPpJFJl3opAkYfsCEKx3wmJtfYlGm7SzFZvN9g6L23XzI8tA==" workbookSaltValue="9vEiTK2H7OxcywRpbtYZsQ==" workbookSpinCount="100000" lockStructure="1"/>
  <bookViews>
    <workbookView xWindow="-120" yWindow="-120" windowWidth="38640" windowHeight="21240" tabRatio="881" xr2:uid="{00000000-000D-0000-FFFF-FFFF00000000}"/>
  </bookViews>
  <sheets>
    <sheet name="1. מדריך והנחיות" sheetId="1" r:id="rId1"/>
    <sheet name="2.1 פרטי בקשה" sheetId="2" r:id="rId2"/>
    <sheet name="2.2 מבנה החזקות" sheetId="18" r:id="rId3"/>
    <sheet name="2.3 מצב כספי" sheetId="3" r:id="rId4"/>
    <sheet name="2.4 הכנסות והוצאות" sheetId="4" r:id="rId5"/>
    <sheet name="2.5 עלויות מו״פ שהוונו" sheetId="5" r:id="rId6"/>
    <sheet name="2.6 מו״פ וישראל" sheetId="6" r:id="rId7"/>
    <sheet name="2.7 משקיעים" sheetId="10" r:id="rId8"/>
    <sheet name="2.8 נתונים מאוחדים" sheetId="7" r:id="rId9"/>
    <sheet name="3. אופק שרידות" sheetId="11" r:id="rId10"/>
    <sheet name="4. תנאי סף" sheetId="9" r:id="rId11"/>
    <sheet name="5. קצב הוצאות צפוי" sheetId="12" r:id="rId12"/>
    <sheet name="6 חישוב מענק" sheetId="13" r:id="rId13"/>
    <sheet name="Utils" sheetId="21" state="veryHidden" r:id="rId14"/>
    <sheet name="_דירוגים" sheetId="16" state="veryHidden" r:id="rId15"/>
  </sheets>
  <definedNames>
    <definedName name="cell_vers_title">'1. מדריך והנחיות'!$O$6</definedName>
    <definedName name="cell_yashuyot_kshurot_flag">'2.2 מבנה החזקות'!$F$5</definedName>
    <definedName name="rng_hide_col_0301">'3. אופק שרידות'!$F:$I</definedName>
    <definedName name="rng_hide_col_aluyot_mop">'2.5 עלויות מו״פ שהוונו'!#REF!</definedName>
    <definedName name="rng_hide_col_hachnasot_hotzaot">'2.4 הכנסות והוצאות'!#REF!</definedName>
    <definedName name="rng_hide_col_ketzev_hotzaot">'5. קצב הוצאות צפוי'!#REF!</definedName>
    <definedName name="rng_hide_col_maanak">'6 חישוב מענק'!#REF!</definedName>
    <definedName name="rng_hide_col_madrich1">'1. מדריך והנחיות'!$M:$T</definedName>
    <definedName name="rng_hide_col_mashkiim">'2.7 משקיעים'!#REF!</definedName>
    <definedName name="rng_hide_col_matzav_kaspi1">'2.3 מצב כספי'!#REF!</definedName>
    <definedName name="rng_hide_col_mivne1">'2.2 מבנה החזקות'!#REF!</definedName>
    <definedName name="rng_hide_col_mop_israel">'2.6 מו״פ וישראל'!#REF!</definedName>
    <definedName name="rng_hide_col_netunim28">'2.8 נתונים מאוחדים'!#REF!</definedName>
    <definedName name="rng_hide_col_ofek_shridut">'3. אופק שרידות'!#REF!</definedName>
    <definedName name="rng_hide_col_pirtey1">'2.1 פרטי בקשה'!$F:$F</definedName>
    <definedName name="rng_hide_col_tnay_saf">'4. תנאי סף'!#REF!</definedName>
    <definedName name="rng_hide_row_0202">'2.2 מבנה החזקות'!$26:$69</definedName>
    <definedName name="rng_hide_row_0301">'3. אופק שרידות'!$69:$79</definedName>
    <definedName name="rng_hide_row_matzav_kaspi1">'2.3 מצב כספי'!$26:$35</definedName>
    <definedName name="rng_hide_row_mivne1">'2.2 מבנה החזקות'!$26:$69</definedName>
    <definedName name="rng_hide_row_netunim">'2.2 מבנה החזקות'!$26:$68</definedName>
    <definedName name="rng_table_020201">'2.2 מבנה החזקות'!$F$5</definedName>
    <definedName name="rng_table_020202">'2.2 מבנה החזקות'!$E$9:$G$9</definedName>
    <definedName name="rng_table_020301">'2.3 מצב כספי'!$C$7:$D$16</definedName>
    <definedName name="rng_table_020302">'2.3 מצב כספי'!$C$18:$D$21</definedName>
    <definedName name="rng_table_020303">'2.3 מצב כספי'!$J$7:$K$15</definedName>
    <definedName name="rng_table_020304">'2.3 מצב כספי'!$J$17:$K$18</definedName>
    <definedName name="rng_table_020305">'2.3 מצב כספי'!$J$20:$K$23</definedName>
    <definedName name="rng_table_020306">'2.3 מצב כספי'!$C$34</definedName>
    <definedName name="rng_table_020401">'2.4 הכנסות והוצאות'!$C$16:$E$24</definedName>
    <definedName name="rng_table_020402">'2.4 הכנסות והוצאות'!$C$30:$C$31</definedName>
    <definedName name="rng_table_020501">'2.5 עלויות מו״פ שהוונו'!$C$6</definedName>
    <definedName name="rng_table_020502">'2.5 עלויות מו״פ שהוונו'!$C$9:$D$12</definedName>
    <definedName name="rng_table_020503">'2.5 עלויות מו״פ שהוונו'!$C$17:$D$21</definedName>
    <definedName name="rng_table_020601">'2.6 מו״פ וישראל'!$B$7:$C$18</definedName>
    <definedName name="rng_table_020602">'2.6 מו״פ וישראל'!$E$7:$E$19</definedName>
    <definedName name="rng_table_020701">'2.7 משקיעים'!$B$7:$J$31</definedName>
    <definedName name="rng_table_020801">'2.8 נתונים מאוחדים'!$D$8:$P$19</definedName>
    <definedName name="rng_table_020802">'2.8 נתונים מאוחדים'!$D$23:$P$23</definedName>
    <definedName name="rng_table_0301">'3. אופק שרידות'!$B$12:$E$23</definedName>
    <definedName name="rng_table_0302">'3. אופק שרידות'!$B$31:$E$42</definedName>
    <definedName name="rng_table_0303">'3. אופק שרידות'!$C$44</definedName>
    <definedName name="rng_table_0401">'4. תנאי סף'!$H$35</definedName>
    <definedName name="rng_table_0501">'5. קצב הוצאות צפוי'!$C$13:$C$18</definedName>
    <definedName name="rng_table_0502">'5. קצב הוצאות צפוי'!$C$24:$F$36</definedName>
    <definedName name="rng_table_0601">'6 חישוב מענק'!$C$26</definedName>
    <definedName name="rng_table_mivne_yashuyot">'2.2 מבנה החזקות'!$B$13:$M$24</definedName>
    <definedName name="rng_table_pirtey_habakasha">'2.1 פרטי בקשה'!$C$4:$C$6</definedName>
    <definedName name="table_0201_ptr">'2.1 פרטי בקשה'!#REF!</definedName>
    <definedName name="table_0201_title">'2.1 פרטי בקשה'!$A$1</definedName>
    <definedName name="template_base_name">'1. מדריך והנחיות'!$P$3</definedName>
    <definedName name="template_build_num">'1. מדריך והנחיות'!$R$3</definedName>
    <definedName name="template_date">'1. מדריך והנחיות'!$R$5</definedName>
    <definedName name="template_time">'1. מדריך והנחיות'!$R$6</definedName>
    <definedName name="template_track_id">'1. מדריך והנחיות'!$Q$3</definedName>
    <definedName name="template_vers">'1. מדריך והנחיות'!$O$3</definedName>
    <definedName name="work_cell">Utils!$B$5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9" i="7" l="1"/>
  <c r="B18" i="7"/>
  <c r="B17" i="7"/>
  <c r="B16" i="7"/>
  <c r="B15" i="7"/>
  <c r="B14" i="7"/>
  <c r="B13" i="7"/>
  <c r="B12" i="7"/>
  <c r="B11" i="7"/>
  <c r="B10" i="7"/>
  <c r="B9" i="7"/>
  <c r="B8" i="7"/>
  <c r="N3" i="1"/>
  <c r="O6" i="1"/>
  <c r="C43" i="11"/>
  <c r="E35" i="10"/>
  <c r="K55" i="18"/>
  <c r="K54" i="18"/>
  <c r="J7" i="1" l="1"/>
  <c r="J6" i="1"/>
  <c r="R3" i="1"/>
  <c r="M3" i="1"/>
  <c r="B35" i="10"/>
  <c r="C9" i="2"/>
  <c r="K7" i="12" s="1"/>
  <c r="B55" i="13"/>
  <c r="D26" i="13"/>
  <c r="F49" i="12"/>
  <c r="B49" i="12"/>
  <c r="F48" i="12"/>
  <c r="B48" i="12"/>
  <c r="F47" i="12"/>
  <c r="C47" i="12"/>
  <c r="B47" i="12"/>
  <c r="F46" i="12"/>
  <c r="B46" i="12"/>
  <c r="F45" i="12"/>
  <c r="B45" i="12"/>
  <c r="E37" i="12"/>
  <c r="E52" i="12" s="1"/>
  <c r="D37" i="12"/>
  <c r="D52" i="12" s="1"/>
  <c r="D20" i="12"/>
  <c r="E61" i="11"/>
  <c r="B61" i="11"/>
  <c r="E60" i="11"/>
  <c r="B60" i="11"/>
  <c r="E59" i="11"/>
  <c r="B59" i="11"/>
  <c r="E58" i="11"/>
  <c r="B58" i="11"/>
  <c r="E57" i="11"/>
  <c r="B57" i="11"/>
  <c r="H22" i="9"/>
  <c r="B22" i="9"/>
  <c r="H21" i="9"/>
  <c r="B21" i="9"/>
  <c r="H20" i="9"/>
  <c r="B20" i="9"/>
  <c r="H19" i="9"/>
  <c r="B19" i="9"/>
  <c r="H18" i="9"/>
  <c r="B18" i="9"/>
  <c r="G12" i="9"/>
  <c r="C12" i="9"/>
  <c r="G9" i="9"/>
  <c r="C9" i="9"/>
  <c r="G6" i="9"/>
  <c r="C6" i="9"/>
  <c r="H6" i="7"/>
  <c r="H24" i="7" s="1"/>
  <c r="D29" i="9" s="1"/>
  <c r="B6" i="7"/>
  <c r="E27" i="18"/>
  <c r="B29" i="18"/>
  <c r="B28" i="18"/>
  <c r="B27" i="18"/>
  <c r="A26" i="18"/>
  <c r="B6" i="18"/>
  <c r="C22" i="5"/>
  <c r="C13" i="5"/>
  <c r="B7" i="5"/>
  <c r="K58" i="18"/>
  <c r="F65" i="18"/>
  <c r="F64" i="18"/>
  <c r="F63" i="18"/>
  <c r="F62" i="18"/>
  <c r="F61" i="18"/>
  <c r="F60" i="18"/>
  <c r="F59" i="18"/>
  <c r="F58" i="18"/>
  <c r="F57" i="18"/>
  <c r="F56" i="18"/>
  <c r="F55" i="18"/>
  <c r="H64" i="18"/>
  <c r="G64" i="18"/>
  <c r="H63" i="18"/>
  <c r="G63" i="18"/>
  <c r="E63" i="18"/>
  <c r="B63" i="18"/>
  <c r="H62" i="18"/>
  <c r="G62" i="18"/>
  <c r="E62" i="18"/>
  <c r="B62" i="18"/>
  <c r="H61" i="18"/>
  <c r="G61" i="18"/>
  <c r="E61" i="18"/>
  <c r="B61" i="18"/>
  <c r="H60" i="18"/>
  <c r="G60" i="18"/>
  <c r="H59" i="18"/>
  <c r="G59" i="18"/>
  <c r="H58" i="18"/>
  <c r="G58" i="18"/>
  <c r="H57" i="18"/>
  <c r="G57" i="18"/>
  <c r="H56" i="18"/>
  <c r="G56" i="18"/>
  <c r="H55" i="18"/>
  <c r="G55" i="18"/>
  <c r="H54" i="18"/>
  <c r="G54" i="18"/>
  <c r="A11" i="18"/>
  <c r="D9" i="18"/>
  <c r="B9" i="18"/>
  <c r="G12" i="1"/>
  <c r="F36" i="1" s="1"/>
  <c r="C33" i="3"/>
  <c r="C35" i="3" s="1"/>
  <c r="J30" i="3"/>
  <c r="P6" i="7" s="1"/>
  <c r="P24" i="7" s="1"/>
  <c r="J24" i="3"/>
  <c r="O6" i="7" s="1"/>
  <c r="O24" i="7" s="1"/>
  <c r="J19" i="3"/>
  <c r="N6" i="7" s="1"/>
  <c r="N24" i="7" s="1"/>
  <c r="J16" i="3"/>
  <c r="C22" i="3"/>
  <c r="L6" i="7" s="1"/>
  <c r="L24" i="7" s="1"/>
  <c r="C17" i="3"/>
  <c r="C37" i="12"/>
  <c r="G42" i="11"/>
  <c r="F42" i="11"/>
  <c r="G41" i="11"/>
  <c r="F41" i="11"/>
  <c r="G40" i="11"/>
  <c r="F40" i="11"/>
  <c r="G38" i="11"/>
  <c r="F38" i="11"/>
  <c r="E20" i="6"/>
  <c r="G6" i="7" s="1"/>
  <c r="G24" i="7" s="1"/>
  <c r="D28" i="9" s="1"/>
  <c r="B19" i="6"/>
  <c r="F18" i="6"/>
  <c r="D18" i="6"/>
  <c r="F17" i="6"/>
  <c r="D17" i="6"/>
  <c r="F16" i="6"/>
  <c r="D16" i="6"/>
  <c r="F15" i="6"/>
  <c r="D15" i="6"/>
  <c r="F14" i="6"/>
  <c r="D14" i="6"/>
  <c r="F13" i="6"/>
  <c r="D13" i="6"/>
  <c r="F12" i="6"/>
  <c r="D12" i="6"/>
  <c r="F11" i="6"/>
  <c r="D11" i="6"/>
  <c r="F10" i="6"/>
  <c r="D10" i="6"/>
  <c r="F9" i="6"/>
  <c r="D9" i="6"/>
  <c r="F8" i="6"/>
  <c r="D8" i="6"/>
  <c r="F7" i="6"/>
  <c r="D7" i="6"/>
  <c r="D26" i="4"/>
  <c r="J6" i="7" s="1"/>
  <c r="J24" i="7" s="1"/>
  <c r="C8" i="11" s="1"/>
  <c r="C26" i="4"/>
  <c r="E6" i="7" s="1"/>
  <c r="E24" i="7" s="1"/>
  <c r="D26" i="9" s="1"/>
  <c r="D25" i="4"/>
  <c r="C25" i="4"/>
  <c r="D6" i="7" s="1"/>
  <c r="D24" i="7" s="1"/>
  <c r="D25" i="9" s="1"/>
  <c r="C16" i="7" l="1"/>
  <c r="C17" i="7"/>
  <c r="C18" i="7"/>
  <c r="K56" i="18"/>
  <c r="B60" i="18"/>
  <c r="B64" i="18"/>
  <c r="B59" i="18"/>
  <c r="B58" i="18"/>
  <c r="B57" i="18"/>
  <c r="B56" i="18"/>
  <c r="C37" i="13"/>
  <c r="C24" i="11"/>
  <c r="D32" i="9"/>
  <c r="C52" i="12"/>
  <c r="E47" i="12"/>
  <c r="C11" i="7"/>
  <c r="C19" i="7"/>
  <c r="C15" i="7"/>
  <c r="C14" i="7"/>
  <c r="C10" i="7"/>
  <c r="C13" i="7"/>
  <c r="C12" i="7"/>
  <c r="C9" i="7"/>
  <c r="D31" i="9"/>
  <c r="B6" i="9"/>
  <c r="C7" i="9"/>
  <c r="F6" i="9"/>
  <c r="G7" i="9"/>
  <c r="G19" i="9"/>
  <c r="D19" i="9"/>
  <c r="D18" i="9"/>
  <c r="G18" i="9"/>
  <c r="D27" i="4"/>
  <c r="I6" i="7"/>
  <c r="I24" i="7" s="1"/>
  <c r="M6" i="7"/>
  <c r="M24" i="7" s="1"/>
  <c r="J26" i="3"/>
  <c r="K6" i="7"/>
  <c r="K24" i="7" s="1"/>
  <c r="C30" i="3"/>
  <c r="C26" i="3"/>
  <c r="C63" i="18"/>
  <c r="D63" i="18"/>
  <c r="C62" i="18"/>
  <c r="D62" i="18"/>
  <c r="D61" i="18"/>
  <c r="C61" i="18"/>
  <c r="F54" i="18"/>
  <c r="B55" i="18"/>
  <c r="F33" i="18"/>
  <c r="B54" i="18"/>
  <c r="C57" i="11"/>
  <c r="D57" i="11"/>
  <c r="C8" i="7"/>
  <c r="E55" i="18"/>
  <c r="C74" i="11"/>
  <c r="H74" i="11" s="1"/>
  <c r="I74" i="11" s="1"/>
  <c r="C73" i="11"/>
  <c r="D74" i="11"/>
  <c r="E74" i="11" s="1"/>
  <c r="D75" i="11"/>
  <c r="E75" i="11" s="1"/>
  <c r="C76" i="11"/>
  <c r="H76" i="11" s="1"/>
  <c r="I76" i="11" s="1"/>
  <c r="D77" i="11"/>
  <c r="E77" i="11" s="1"/>
  <c r="D73" i="11"/>
  <c r="E73" i="11" s="1"/>
  <c r="C75" i="11"/>
  <c r="H75" i="11" s="1"/>
  <c r="I75" i="11" s="1"/>
  <c r="D76" i="11"/>
  <c r="E76" i="11" s="1"/>
  <c r="C77" i="11"/>
  <c r="H77" i="11" s="1"/>
  <c r="I77" i="11" s="1"/>
  <c r="C19" i="6"/>
  <c r="B20" i="6"/>
  <c r="F19" i="6"/>
  <c r="F20" i="6" s="1"/>
  <c r="C27" i="4"/>
  <c r="C11" i="2"/>
  <c r="C10" i="2"/>
  <c r="D22" i="9" l="1"/>
  <c r="G22" i="9"/>
  <c r="C13" i="9"/>
  <c r="B12" i="9"/>
  <c r="C29" i="3"/>
  <c r="J29" i="3" s="1"/>
  <c r="E54" i="18"/>
  <c r="C54" i="18"/>
  <c r="D54" i="18" s="1"/>
  <c r="K57" i="18"/>
  <c r="K59" i="18" s="1"/>
  <c r="K60" i="18" s="1"/>
  <c r="K61" i="18" s="1"/>
  <c r="K62" i="18" s="1"/>
  <c r="K63" i="18" s="1"/>
  <c r="K64" i="18" s="1"/>
  <c r="K65" i="18" s="1"/>
  <c r="F36" i="18"/>
  <c r="E60" i="18"/>
  <c r="C60" i="18"/>
  <c r="D60" i="18" s="1"/>
  <c r="E64" i="18"/>
  <c r="C64" i="18"/>
  <c r="D64" i="18" s="1"/>
  <c r="E59" i="18"/>
  <c r="C59" i="18"/>
  <c r="D59" i="18" s="1"/>
  <c r="E58" i="18"/>
  <c r="C58" i="18"/>
  <c r="D58" i="18" s="1"/>
  <c r="E57" i="18"/>
  <c r="C57" i="18"/>
  <c r="D57" i="18" s="1"/>
  <c r="E56" i="18"/>
  <c r="C56" i="18"/>
  <c r="D56" i="18" s="1"/>
  <c r="C47" i="11"/>
  <c r="D26" i="6"/>
  <c r="D24" i="6"/>
  <c r="D21" i="9"/>
  <c r="F9" i="9"/>
  <c r="G21" i="9"/>
  <c r="G10" i="9"/>
  <c r="E37" i="13"/>
  <c r="C38" i="13"/>
  <c r="C55" i="18"/>
  <c r="D55" i="18" s="1"/>
  <c r="C25" i="11"/>
  <c r="C58" i="11"/>
  <c r="C59" i="11"/>
  <c r="D58" i="11"/>
  <c r="C20" i="6"/>
  <c r="D19" i="6"/>
  <c r="D20" i="6" s="1"/>
  <c r="K66" i="18" l="1"/>
  <c r="E29" i="18"/>
  <c r="F39" i="18"/>
  <c r="F37" i="18"/>
  <c r="F38" i="18" s="1"/>
  <c r="E28" i="18"/>
  <c r="F73" i="11"/>
  <c r="G73" i="11" s="1"/>
  <c r="H73" i="11" s="1"/>
  <c r="I73" i="11" s="1"/>
  <c r="F74" i="11" s="1"/>
  <c r="C11" i="12"/>
  <c r="B39" i="18"/>
  <c r="J43" i="18"/>
  <c r="J44" i="18" s="1"/>
  <c r="F45" i="18"/>
  <c r="L43" i="18"/>
  <c r="L44" i="18" s="1"/>
  <c r="J45" i="18"/>
  <c r="H37" i="18"/>
  <c r="H38" i="18" s="1"/>
  <c r="D45" i="18"/>
  <c r="J37" i="18"/>
  <c r="J38" i="18" s="1"/>
  <c r="B43" i="18"/>
  <c r="B44" i="18" s="1"/>
  <c r="J39" i="18"/>
  <c r="F43" i="18"/>
  <c r="F44" i="18" s="1"/>
  <c r="L45" i="18"/>
  <c r="H43" i="18"/>
  <c r="H44" i="18" s="1"/>
  <c r="B45" i="18"/>
  <c r="D37" i="18"/>
  <c r="D38" i="18" s="1"/>
  <c r="H39" i="18"/>
  <c r="L37" i="18"/>
  <c r="L38" i="18" s="1"/>
  <c r="B37" i="18"/>
  <c r="B38" i="18" s="1"/>
  <c r="E38" i="13"/>
  <c r="F6" i="7"/>
  <c r="F24" i="7" s="1"/>
  <c r="D27" i="9" s="1"/>
  <c r="A24" i="6"/>
  <c r="A26" i="6"/>
  <c r="D39" i="18"/>
  <c r="L39" i="18"/>
  <c r="D43" i="18"/>
  <c r="D44" i="18" s="1"/>
  <c r="H45" i="18"/>
  <c r="D59" i="11"/>
  <c r="B66" i="11"/>
  <c r="F75" i="11" l="1"/>
  <c r="G74" i="11"/>
  <c r="D30" i="9"/>
  <c r="D20" i="9" s="1"/>
  <c r="C39" i="13"/>
  <c r="G75" i="11" l="1"/>
  <c r="F76" i="11"/>
  <c r="C10" i="9"/>
  <c r="B9" i="9"/>
  <c r="G20" i="9"/>
  <c r="B63" i="11"/>
  <c r="C60" i="11"/>
  <c r="C12" i="12"/>
  <c r="C46" i="12" s="1"/>
  <c r="C48" i="11"/>
  <c r="G76" i="11" l="1"/>
  <c r="F77" i="11"/>
  <c r="G77" i="11" s="1"/>
  <c r="E39" i="13"/>
  <c r="C40" i="13"/>
  <c r="C19" i="12"/>
  <c r="D19" i="12"/>
  <c r="C49" i="11"/>
  <c r="C66" i="11"/>
  <c r="C61" i="11"/>
  <c r="D60" i="11"/>
  <c r="C20" i="12" l="1"/>
  <c r="E46" i="12"/>
  <c r="C50" i="11"/>
  <c r="H15" i="1"/>
  <c r="B7" i="12"/>
  <c r="K6" i="12"/>
  <c r="C45" i="12"/>
  <c r="C41" i="13"/>
  <c r="E40" i="13"/>
  <c r="B30" i="13"/>
  <c r="B53" i="11"/>
  <c r="D61" i="11"/>
  <c r="D66" i="11"/>
  <c r="G13" i="9"/>
  <c r="F12" i="9" l="1"/>
  <c r="B68" i="11"/>
  <c r="E66" i="11"/>
  <c r="I12" i="1"/>
  <c r="F46" i="1" s="1"/>
  <c r="C49" i="12"/>
  <c r="E49" i="12"/>
  <c r="K8" i="12"/>
  <c r="B6" i="12" s="1"/>
  <c r="C38" i="12"/>
  <c r="B41" i="12" s="1"/>
  <c r="E45" i="12"/>
  <c r="F52" i="12"/>
  <c r="E41" i="13"/>
  <c r="C30" i="13"/>
  <c r="C42" i="13"/>
  <c r="D38" i="12"/>
  <c r="C48" i="12"/>
  <c r="H12" i="1" l="1"/>
  <c r="F43" i="1" s="1"/>
  <c r="G4" i="9"/>
  <c r="D8" i="13"/>
  <c r="J12" i="1"/>
  <c r="F49" i="1" s="1"/>
  <c r="C8" i="13"/>
  <c r="F15" i="1"/>
  <c r="B52" i="12"/>
  <c r="E48" i="12"/>
  <c r="D9" i="13" l="1"/>
  <c r="D15" i="13" s="1"/>
  <c r="D10" i="13"/>
  <c r="D30" i="13"/>
  <c r="C10" i="13"/>
  <c r="C11" i="13" s="1"/>
  <c r="C12" i="13" s="1"/>
  <c r="C13" i="13" s="1"/>
  <c r="C14" i="13" s="1"/>
  <c r="C9" i="13"/>
  <c r="E42" i="13"/>
  <c r="C44" i="13"/>
  <c r="C43" i="13"/>
  <c r="E49" i="13" l="1"/>
  <c r="C49" i="13"/>
  <c r="D11" i="13"/>
  <c r="E44" i="13"/>
  <c r="C45" i="13"/>
  <c r="B22" i="13"/>
  <c r="B21" i="13"/>
  <c r="B23" i="13"/>
  <c r="E43" i="13"/>
  <c r="C15" i="13"/>
  <c r="C16" i="13" s="1"/>
  <c r="C46" i="13" l="1"/>
  <c r="E45" i="13"/>
  <c r="D12" i="13"/>
  <c r="C17" i="13"/>
  <c r="C19" i="13"/>
  <c r="C18" i="13"/>
  <c r="E46" i="13" l="1"/>
  <c r="C47" i="13"/>
  <c r="D13" i="13"/>
  <c r="C48" i="13" l="1"/>
  <c r="E47" i="13"/>
  <c r="B33" i="13"/>
  <c r="D14" i="13"/>
  <c r="C50" i="13" s="1"/>
  <c r="D16" i="13" l="1"/>
  <c r="E48" i="13"/>
  <c r="C52" i="13" l="1"/>
  <c r="D19" i="13"/>
  <c r="C53" i="13"/>
  <c r="E30" i="13"/>
  <c r="C51" i="13"/>
  <c r="E50" i="13"/>
  <c r="B27" i="13"/>
  <c r="D17" i="13"/>
  <c r="D18" i="13"/>
  <c r="K12" i="1"/>
  <c r="F52" i="1" s="1"/>
  <c r="J15" i="1"/>
  <c r="E53" i="13" l="1"/>
  <c r="E33" i="13"/>
  <c r="C33" i="13"/>
  <c r="E51" i="13"/>
  <c r="E52" i="13"/>
  <c r="D33" i="13"/>
</calcChain>
</file>

<file path=xl/sharedStrings.xml><?xml version="1.0" encoding="utf-8"?>
<sst xmlns="http://schemas.openxmlformats.org/spreadsheetml/2006/main" count="585" uniqueCount="505">
  <si>
    <t>מרכז העבודה — מלאו לפי השלבים. השדות הצהובים מיועדים להזנה; התאים הכחולים מחושבים אוטומטית.</t>
  </si>
  <si>
    <t>① התחילו בפרטי הבקשה ובמועד ההגשה — מועדי החתך יחושבו אוטומטית.</t>
  </si>
  <si>
    <t>② מלאו את הנתונים הכספיים מתוך מאזן בוחן, ספרי החברה והאסמכתאות.</t>
  </si>
  <si>
    <t>2 · נתונים פיננסיים</t>
  </si>
  <si>
    <t>3 · תנאי סף</t>
  </si>
  <si>
    <t>4 · Runway</t>
  </si>
  <si>
    <t>5 · תחזית</t>
  </si>
  <si>
    <t>6 · מענק</t>
  </si>
  <si>
    <t>③ עברו לתנאי הסף רק לאחר השלמת הנתונים. הסטטוסים מתעדכנים אוטומטית.</t>
  </si>
  <si>
    <t>④ ב-Runway הזינו התאמות ומקורות צפויים. מקורות רלוונטיים משפיעים על אופק השרידות.</t>
  </si>
  <si>
    <t>⑤ השלימו תחזית שימושים ומקורות, ואז עברו לחישוב המענק ולהצהרה.</t>
  </si>
  <si>
    <t>Runway</t>
  </si>
  <si>
    <t>מענק מחושב</t>
  </si>
  <si>
    <t>פרמטרים ותנאי מסלול</t>
  </si>
  <si>
    <t>מגבלת אופק שרידות (חודשים)</t>
  </si>
  <si>
    <t>תקופת הארכה (חודשים)</t>
  </si>
  <si>
    <t>שיעור מענק</t>
  </si>
  <si>
    <t>מינימום הוצאות שנתיות</t>
  </si>
  <si>
    <t>מקסימום הוצאות שנתיות</t>
  </si>
  <si>
    <t>שיעור מו״פ מינימלי</t>
  </si>
  <si>
    <t>שיעור הוצאות בישראל מינימלי</t>
  </si>
  <si>
    <t>שיעור הכנסות מט״ח מינימלי (בהיעדר גיוס)</t>
  </si>
  <si>
    <t>תקרת מענק — מסלול חברות מתחילות</t>
  </si>
  <si>
    <t>תקרת מענק — צמיחה מוקדמת</t>
  </si>
  <si>
    <t>סף מסלול (הוצאות תקופת הארכה)</t>
  </si>
  <si>
    <t>אופק שרידות</t>
  </si>
  <si>
    <t>שם החברה</t>
  </si>
  <si>
    <t>מספר חברה (ח.פ.)</t>
  </si>
  <si>
    <t>מועד הגשת הבקשה</t>
  </si>
  <si>
    <t>מועדי חתך (מחושב אוטומטית ממועד ההגשה)</t>
  </si>
  <si>
    <t>מועד חתך</t>
  </si>
  <si>
    <t>תחילת תקופה שנתית (12 חודשים)</t>
  </si>
  <si>
    <t>תחילת תקופת הבסיס (3 חודשים)</t>
  </si>
  <si>
    <t>סעיף</t>
  </si>
  <si>
    <t>סכום (₪)</t>
  </si>
  <si>
    <t>מספר/טווח חשבון</t>
  </si>
  <si>
    <t>בנקים</t>
  </si>
  <si>
    <t>פיקדונות לזמן קצר</t>
  </si>
  <si>
    <t>השקעות בניירות ערך</t>
  </si>
  <si>
    <t>לקוחות</t>
  </si>
  <si>
    <t>מוסדות</t>
  </si>
  <si>
    <t>חברות קשורות</t>
  </si>
  <si>
    <t>הכנסות לקבל</t>
  </si>
  <si>
    <t>חייבים אחרים</t>
  </si>
  <si>
    <t>מלאי</t>
  </si>
  <si>
    <t>אחר — רכוש שוטף</t>
  </si>
  <si>
    <t>רכוש קבוע</t>
  </si>
  <si>
    <t>פיקדונות לזמן ארוך</t>
  </si>
  <si>
    <t>מזומנים משועבדים</t>
  </si>
  <si>
    <t>אחר — רכוש שאינו שוטף</t>
  </si>
  <si>
    <t>סה״כ רכוש שוטף</t>
  </si>
  <si>
    <t>סה״כ רכוש שאינו שוטף</t>
  </si>
  <si>
    <t>סה״כ נכסים</t>
  </si>
  <si>
    <t>התחייבויות והון</t>
  </si>
  <si>
    <t>ספקים</t>
  </si>
  <si>
    <t>מוסדות שכר</t>
  </si>
  <si>
    <t>עובדים</t>
  </si>
  <si>
    <t>הוצאות לשלם</t>
  </si>
  <si>
    <t>חלויות שוטפות</t>
  </si>
  <si>
    <t>זכאים אחרים</t>
  </si>
  <si>
    <t>אחר — התחייבויות שוטפות</t>
  </si>
  <si>
    <t>התחייבויות לזמן ארוך</t>
  </si>
  <si>
    <t>SAFE</t>
  </si>
  <si>
    <t>הון מניות</t>
  </si>
  <si>
    <t>פרמיה על מניות</t>
  </si>
  <si>
    <t>עודפים</t>
  </si>
  <si>
    <t>אחר — הון</t>
  </si>
  <si>
    <t>סה״כ התחייבויות שוטפות</t>
  </si>
  <si>
    <t>סה״כ התחייבויות לזמן ארוך</t>
  </si>
  <si>
    <t>סה״כ הון</t>
  </si>
  <si>
    <t>סה״כ התחייבויות והון</t>
  </si>
  <si>
    <t>בקרות ומדדים</t>
  </si>
  <si>
    <t>הפרש התאזנות (נכסים − התחייבויות והון)</t>
  </si>
  <si>
    <t>מצב התאזנות (עד 100 ₪ = מאוזן)</t>
  </si>
  <si>
    <t>התאמה לאישורי בנק</t>
  </si>
  <si>
    <t>נכסים בנקאיים לפי מאזן בוחן (אוטומטי)</t>
  </si>
  <si>
    <t>נכסים בנקאיים לפי אישורי יתרה</t>
  </si>
  <si>
    <t>תוצאת הבקרה</t>
  </si>
  <si>
    <t>12 חודשים ושלושת חודשי הבסיס עד מועד החתך.</t>
  </si>
  <si>
    <t>12 חודשים (₪)</t>
  </si>
  <si>
    <t>3 חודשים (₪)</t>
  </si>
  <si>
    <t>הכנסות ממכירות / מתן שירותים</t>
  </si>
  <si>
    <t>עלות המכר / מתן השירותים</t>
  </si>
  <si>
    <t>הוצאות שיווק ומכירה</t>
  </si>
  <si>
    <t>הוצאות מחקר ופיתוח שנרשמו בספרים</t>
  </si>
  <si>
    <t>הוצאות הנהלה וכלליות</t>
  </si>
  <si>
    <t>הוצאות מימון</t>
  </si>
  <si>
    <t>הכנסות מימון</t>
  </si>
  <si>
    <t>הוצאות אחרות</t>
  </si>
  <si>
    <t>הכנסות אחרות</t>
  </si>
  <si>
    <t>סך הכנסות</t>
  </si>
  <si>
    <t>סך הוצאות (בדוח הכנסות והוצאות)</t>
  </si>
  <si>
    <t>רווח (הפסד) לפני מס</t>
  </si>
  <si>
    <t>הכנסות במטבע זר (לתנאי הסף)</t>
  </si>
  <si>
    <t>האם הקבוצה גייסה השקעה ב-3 השנים האחרונות? (כן/לא)</t>
  </si>
  <si>
    <t>הכנסות במטבע זר — 12 חודשים</t>
  </si>
  <si>
    <t>תנועה בנכס</t>
  </si>
  <si>
    <t>יתרת פתיחה</t>
  </si>
  <si>
    <t>תוספות שהוונו</t>
  </si>
  <si>
    <t>גריעות</t>
  </si>
  <si>
    <t>הפחתה שנרשמה בתקופה</t>
  </si>
  <si>
    <t>יתרת סגירה מחושבת</t>
  </si>
  <si>
    <t>שכר עובדים שהוון</t>
  </si>
  <si>
    <t>קבלני משנה שהוונו</t>
  </si>
  <si>
    <t>תוכנות וכלי פיתוח שהוונו</t>
  </si>
  <si>
    <t>רכיבים וחומרים שהוונו</t>
  </si>
  <si>
    <t>אחר</t>
  </si>
  <si>
    <t>סה״כ פירוט</t>
  </si>
  <si>
    <t>הפירוט צריך להתאים להוצאות המו״פ בספרים (בתוספת פיתוח מהוון אם חל).</t>
  </si>
  <si>
    <t>סוג ההוצאה</t>
  </si>
  <si>
    <t>שכר, נלוות והטבות עובדים</t>
  </si>
  <si>
    <t>קבלני משנה ויועצים</t>
  </si>
  <si>
    <t>חומרים</t>
  </si>
  <si>
    <t>תוכנות וכלי פיתוח</t>
  </si>
  <si>
    <t>שירותי ענן ותשתיות</t>
  </si>
  <si>
    <t>ציוד</t>
  </si>
  <si>
    <t>ניסויים ובדיקות</t>
  </si>
  <si>
    <t>קניין רוחני ופטנטים</t>
  </si>
  <si>
    <t>נסיעות מו״פ</t>
  </si>
  <si>
    <t>פחת והפחתות מו״פ</t>
  </si>
  <si>
    <t>חיובים בין־חברתיים למו״פ</t>
  </si>
  <si>
    <t>התאמת מוצר ותיקוף שוק</t>
  </si>
  <si>
    <t>סוג הקשר למבקש</t>
  </si>
  <si>
    <t>מדינת התאגדות</t>
  </si>
  <si>
    <t>רכיב</t>
  </si>
  <si>
    <t>ביטולים בין־חברתיים</t>
  </si>
  <si>
    <t>רכוש שוטף</t>
  </si>
  <si>
    <t>רכוש שאינו שוטף</t>
  </si>
  <si>
    <t>התחייבויות שוטפות</t>
  </si>
  <si>
    <t>הון</t>
  </si>
  <si>
    <t>מזומן ופיקדונות חופשיים</t>
  </si>
  <si>
    <t>סך הכנסות מאוחד — 12 חודשים</t>
  </si>
  <si>
    <t>סך הוצאות מאוחד — 12 חודשים</t>
  </si>
  <si>
    <t>הוצאות מו״פ מאוחד — 12 חודשים</t>
  </si>
  <si>
    <t>הוצאות בישראל מאוחד — 12 חודשים</t>
  </si>
  <si>
    <t>הכנסות במטבע זר מאוחד — 12 חודשים</t>
  </si>
  <si>
    <t>קיימת פעילות מתועדת של לפחות 12 חודשים</t>
  </si>
  <si>
    <t>#</t>
  </si>
  <si>
    <t>סוג המשקיע</t>
  </si>
  <si>
    <t>תיאור המשקיע</t>
  </si>
  <si>
    <t>סך הוצאות תקופת הבסיס (3 חודשים) — מאוחד</t>
  </si>
  <si>
    <t>תיאור התאמה</t>
  </si>
  <si>
    <t>סוג (תוספת/הפחתה)</t>
  </si>
  <si>
    <t>אסמכתה</t>
  </si>
  <si>
    <t>הוצאות מזומן מותאמות ל-3 חודשים</t>
  </si>
  <si>
    <t>קצב הוצאות חודשי היסטורי</t>
  </si>
  <si>
    <t>תיאור מקור</t>
  </si>
  <si>
    <t>סכום נטו (₪)</t>
  </si>
  <si>
    <t>מועד קבלה</t>
  </si>
  <si>
    <t>לכלול? (כן/לא)</t>
  </si>
  <si>
    <t>סה״כ מקורות שנכללו</t>
  </si>
  <si>
    <t>ניכוי מההון החוזר (רכיבים שאינם זמינים)</t>
  </si>
  <si>
    <t>תוצאה</t>
  </si>
  <si>
    <t>הון חוזר נטו מאוחד</t>
  </si>
  <si>
    <t>משאבים זמינים (הון חוזר + מקורות − ניכוי)</t>
  </si>
  <si>
    <t>אופק שרידות (חודשים)</t>
  </si>
  <si>
    <t>עומד בתנאי (≤ 12 חודשים)?</t>
  </si>
  <si>
    <t>טבלת עזר — סדר כרונולוגי לבדיקת מועד קבלה (אין להזין ידנית)</t>
  </si>
  <si>
    <t>דירוג</t>
  </si>
  <si>
    <t>סכום</t>
  </si>
  <si>
    <t>תאריך</t>
  </si>
  <si>
    <t>חוד' לקבלה</t>
  </si>
  <si>
    <t>יתרה טרם קבלה</t>
  </si>
  <si>
    <t>חוד' מכוסים</t>
  </si>
  <si>
    <t>נכלל?</t>
  </si>
  <si>
    <t>תרומה</t>
  </si>
  <si>
    <t>הערה: הסכום הכולל (C22) מחושב כעת לפי מבחן תזמון אמיתי — מקור שמועד קבלתו מאוחר מדי ביחס לקצב ההוצאות לא ייכלל אוטומטית עד שהתזרים 'מגיע אליו' בפועל.</t>
  </si>
  <si>
    <t>מקור</t>
  </si>
  <si>
    <t>סכום לכל התקופה (₪)</t>
  </si>
  <si>
    <t>הון חוזר נטו מאוחד — אוטומטי</t>
  </si>
  <si>
    <t>מקורות חתומים שנכללו באופק — אוטומטי</t>
  </si>
  <si>
    <t>השקעות צפויות שאינן חתומות</t>
  </si>
  <si>
    <t>מענקים ממשלתיים קיימים — לתזרים בלבד</t>
  </si>
  <si>
    <t>גביית לקוחות / הכנסות לקבל / חייבים</t>
  </si>
  <si>
    <t>הכנסות ממכירות צפויות</t>
  </si>
  <si>
    <t>הלוואות שיתקבלו</t>
  </si>
  <si>
    <t>מקורות אחרים</t>
  </si>
  <si>
    <t>סה״כ מקורות לבסיס התקציב (לפני מענק)</t>
  </si>
  <si>
    <t>סה״כ מקורות מזומניים (כולל מענקים ממשלתיים)</t>
  </si>
  <si>
    <t>שימוש</t>
  </si>
  <si>
    <t>סה״כ (₪)</t>
  </si>
  <si>
    <t>מתוכו מו״פ (₪)</t>
  </si>
  <si>
    <t>שכר ונלוות</t>
  </si>
  <si>
    <t>חומרים ישירים / עלות המכר</t>
  </si>
  <si>
    <t>הוצאות מו״פ אחרות</t>
  </si>
  <si>
    <t>שכירות ואחזקה</t>
  </si>
  <si>
    <t>הוצאות משרדיות</t>
  </si>
  <si>
    <t>תשלומים תפעוליים אחרים</t>
  </si>
  <si>
    <t>שיווק ופרסום</t>
  </si>
  <si>
    <t>רכישת ציוד והשקעות</t>
  </si>
  <si>
    <t>שימושים נוספים</t>
  </si>
  <si>
    <t>החזר הלוואות</t>
  </si>
  <si>
    <t>דיבידנד</t>
  </si>
  <si>
    <t>תשלום חד-פעמי אחר</t>
  </si>
  <si>
    <t>סה״כ שימושים</t>
  </si>
  <si>
    <t>קצב הוצאות חודשי צפוי</t>
  </si>
  <si>
    <t>תרחיש 2 חודשים (⅓)</t>
  </si>
  <si>
    <t>תרחיש 3 חודשים (50%)</t>
  </si>
  <si>
    <t>הבהרה</t>
  </si>
  <si>
    <t>זהה בשני התרחישים</t>
  </si>
  <si>
    <t>הוצאות תקופת ההארכה (קצב × 6, לצורך התקרה בלבד)</t>
  </si>
  <si>
    <t>מענק ראשוני (קצב × חודשי המענק בתרחיש)</t>
  </si>
  <si>
    <t>מקורות לבסיס תקציב (מקורות + מענק)</t>
  </si>
  <si>
    <t>תקציב מו״פ לפי שיעור המו״פ</t>
  </si>
  <si>
    <t>תקציב מו״פ מבוקר (מוגבל להוצאות מו״פ צפויות)</t>
  </si>
  <si>
    <t>מענק לפני תקרה (מוגבל לתקציב)</t>
  </si>
  <si>
    <t>תקרת מענק לפי מסלול</t>
  </si>
  <si>
    <t>שיעור השתתפות הרשות</t>
  </si>
  <si>
    <t>מימון משלים נדרש</t>
  </si>
  <si>
    <t>יתרה צפויה בסוף התקופה</t>
  </si>
  <si>
    <t>בחר...</t>
  </si>
  <si>
    <t>גיוס המונים, חברים או משפחה</t>
  </si>
  <si>
    <t>משקיע קטן ללא ניסיון בתחום</t>
  </si>
  <si>
    <t>משקיע קטן עם ניסיון בתחום</t>
  </si>
  <si>
    <t>קרן ללא ניסיון בתחום</t>
  </si>
  <si>
    <t>מימון בינלאומי (איחוד אירופי / קרנות דו-לאומיות או ממשלתיות אחרות)</t>
  </si>
  <si>
    <t>קרן עם ניסיון בתחום, תאגיד, משקיע אסטרטגי</t>
  </si>
  <si>
    <t>משקיע בעל ערך מוסף משמעותי בתחום</t>
  </si>
  <si>
    <t>TBD</t>
  </si>
  <si>
    <t>השקעת קרן חדשה</t>
  </si>
  <si>
    <t>גיוס המונים ללא ניסיון השקעות קודם</t>
  </si>
  <si>
    <t>חברים ומשפחה ללא ניסיון השקעות קודם</t>
  </si>
  <si>
    <t>תאגיד קטן (שווי של פחות מ-100 מיליון דולר) שאינו פועל בתחום פעילות החברה</t>
  </si>
  <si>
    <t>ביצע לפחות 3 השקעות הון סיכון ב-3 השנים האחרונות שאינן בתחום פעילות החברה</t>
  </si>
  <si>
    <t>תאגיד/CVC (בשווי של מעל 100 מיליון דולר) שאינו פועל בתחום פעילות החברה</t>
  </si>
  <si>
    <t>ביצע השקעת הון סיכון אחת בתחום פעילות החברה ב-3 השנים האחרונות</t>
  </si>
  <si>
    <t>ביצע 5 השקעות הון סיכון ב-3 השנים האחרונות שאינן בתחום פעילות החברה</t>
  </si>
  <si>
    <t>תאגיד/CVC בשווי מעל 1 מיליארד דולר שאינו פועל בתחום פעילות החברה</t>
  </si>
  <si>
    <t>ביצע 2-4 השקעות הון סיכון בתחום פעילות החברה ב-3 השנים האחרונות</t>
  </si>
  <si>
    <t>תאגיד/CVC גדול (שווי בין 1-3 מיליארד דולר) שפועל בתחום פעילות החברה</t>
  </si>
  <si>
    <t>ביצע 5 ומעלה השקעות הון סיכון בתחום פעילות החברה ב-3 השנים האחרונות</t>
  </si>
  <si>
    <t>תאגיד/CVC ענק (שווי מעל 3 מיליארד דולר) שפועל בתחום פעילות החברה</t>
  </si>
  <si>
    <t>כל הסכומים בש״ח. סכומי הביניים והסיכומים מחושבים אוטומטית. הצד הימני — נכסים; הצד השמאלי — התחייבויות והון.</t>
  </si>
  <si>
    <t>נכסים</t>
  </si>
  <si>
    <t>הון חוזר נטו (שוטף − שוטפות)</t>
  </si>
  <si>
    <t>פרטי המבקש</t>
  </si>
  <si>
    <t>שם מלא</t>
  </si>
  <si>
    <t>מספר תאגיד</t>
  </si>
  <si>
    <t>תיאור הפעילות העיקרית</t>
  </si>
  <si>
    <t>תאגיד אב (לרמה שנייה)</t>
  </si>
  <si>
    <t>שיעור החזקה ישיר (%)</t>
  </si>
  <si>
    <t>כלולה באיחוד</t>
  </si>
  <si>
    <t>אסמכתה למבנה</t>
  </si>
  <si>
    <t>עזר לחישוב התרשים — אין להזין נתונים בשורות אלה</t>
  </si>
  <si>
    <t>רמה</t>
  </si>
  <si>
    <t>סדר ברמה</t>
  </si>
  <si>
    <t>מפתח</t>
  </si>
  <si>
    <t>טקסט לתצוגה</t>
  </si>
  <si>
    <t>רשימת תאגידי אב</t>
  </si>
  <si>
    <t>בדיקה</t>
  </si>
  <si>
    <t>ממצאים</t>
  </si>
  <si>
    <t>ישויות ללא סוג קשר</t>
  </si>
  <si>
    <t>שיעור החזקה חסר או מעל 100%</t>
  </si>
  <si>
    <t>תאגיד אב שאינו מופיע ברשימת הישויות</t>
  </si>
  <si>
    <t>סה״כ ליקויים</t>
  </si>
  <si>
    <t>ראשית משיבים אם קיימות ישויות קשורות. אם כן — מזינים את פרטי הישויות, והתרשים מצויר אוטומטית מהטבלה.</t>
  </si>
  <si>
    <t>שלב 1 — קיום ישויות קשורות</t>
  </si>
  <si>
    <t>האם למבקש יש תאגידים או ישויות קשורות?</t>
  </si>
  <si>
    <t>אחוז</t>
  </si>
  <si>
    <t>שם</t>
  </si>
  <si>
    <t>יותר מ-6 ישויות באותה רמה (מעבר לתצוגת התרשים)</t>
  </si>
  <si>
    <t>הוזנו ישויות למרות תשובה 'לא'</t>
  </si>
  <si>
    <t>תרשים עץ ההחזקות (מצויר אוטומטית מהטבלה)</t>
  </si>
  <si>
    <t>סך העלויות, התשומות וההוצאות שהוצאו בפועל או נצברו, לרבות מחקר ופיתוח, הנהלה וכלליות, שיווק ומכירות והוצאות מימון, ולמעט מסי הכנסה ומסי חברות. כאשר קיימים תאגידים קשורים שעיקר פעילותם היא קידום פעילות המבקש, נכללות גם הוצאותיהם לאחר נטרול כפילויות והוצאות בין-חברתיות.</t>
  </si>
  <si>
    <t>הוצאות שניתן לייחס לפעילות מחקר ופיתוח בתקופה הנבחנת ושניתן להביאן בחשבון לפי המסלול והנוהל. הוצאה מעורבת תחולק לפי מפתח סביר, עקבי ומתועד, ולא תסווג במלואה כהוצאת מו"פ ללא אסמכתה.</t>
  </si>
  <si>
    <t>בהתאם להגדרת "הוצאות החברה" במסלול הטבה מס' 1 ולהוראות הנוהל.</t>
  </si>
  <si>
    <t>הסיווג נבחן לפי מהות הפעילות והמסמכים התומכים, ולא לפי שם החשבון בלבד.</t>
  </si>
  <si>
    <t>📘  הסברים והגדרות</t>
  </si>
  <si>
    <t>🏢   מהן "הוצאות החברה"?</t>
  </si>
  <si>
    <t>🔬   מהן "הוצאות מחקר ופיתוח"?</t>
  </si>
  <si>
    <t>ℹ️   הכנסות והוצאות נמדדות בשנים-עשר החודשים המלאים ובשלושת החודשים המלאים שקדמו לחודש ההגשה. מסי הכנסה ומסי חברות אינם נכללים בהוצאות החברה. תוספות פיתוח שהוונו, אם קיימות, אינן נרשמות כאן כהוצאה ומתווספות רק בחישוב המסכם.</t>
  </si>
  <si>
    <t>אופציונלי — רק אם החברה מהוונת עלויות מו"פ לנכס. תשובה 'לא' סוגרת את הסעיף; תשובה 'כן' פותחת אותו מחדש.</t>
  </si>
  <si>
    <t>האם החברה מהוונת עלויות מו"פ לנכס? (כן/לא)</t>
  </si>
  <si>
    <t>פירוט העלויות שהוונו</t>
  </si>
  <si>
    <t>📊 סה״כ הוצאות</t>
  </si>
  <si>
    <t>🔬 הוצאות מו״פ</t>
  </si>
  <si>
    <t>הוצאות שאינן מו״פ</t>
  </si>
  <si>
    <t>🇮🇱 הוצאות שהוצאו בישראל</t>
  </si>
  <si>
    <t>🌍 הוצאות שהוצאו בחו״ל</t>
  </si>
  <si>
    <t>עלויות שהוונו לנכס בתקופה (נמשך מלשונית עלויות מו״פ שהוונו לנכס)</t>
  </si>
  <si>
    <t>סה״כ הוצאות</t>
  </si>
  <si>
    <t>📈  שיעורים מרכזיים</t>
  </si>
  <si>
    <t>🔬   שיעור הוצאות מו״פ מתוך סה״כ הוצאות</t>
  </si>
  <si>
    <t>👤 שם המשקיע</t>
  </si>
  <si>
    <t>💰 סכום (₪)</t>
  </si>
  <si>
    <t>🧾 סוג השקעה</t>
  </si>
  <si>
    <t>🏷️ סוג המשקיע</t>
  </si>
  <si>
    <t>📄 תיאור המשקיע</t>
  </si>
  <si>
    <t>📈  סיכום ודירוג המשקיעים</t>
  </si>
  <si>
    <t>💰   סה״כ השקעות שהתקבלו</t>
  </si>
  <si>
    <t>👥   מספר משקיעים מדווחים</t>
  </si>
  <si>
    <t>סכום ההשקעות שהתקבלו בפועל עד מועד החתך</t>
  </si>
  <si>
    <t>מספר השורות שמולאו בטבלה</t>
  </si>
  <si>
    <t>סה״כ מאוחד</t>
  </si>
  <si>
    <t>🟡 מלאו רק את השורות הצהובות (ישויות וביטולים). 🟢 שורת המבקש נמשכת אוטומטית מהלשוניות הקודמות. 🔵 שורת סה״כ מאוחד מחושבת לבד ומשמשת את 'תנאי סף' ו'אופק שרידות'.</t>
  </si>
  <si>
    <t>12 חודשים</t>
  </si>
  <si>
    <t>3 חודשים (תקופת הבסיס)</t>
  </si>
  <si>
    <t>יתרות למועד החתך</t>
  </si>
  <si>
    <t>הישות</t>
  </si>
  <si>
    <t>ישות</t>
  </si>
  <si>
    <t>סוג השורה</t>
  </si>
  <si>
    <t>סך הוצאות</t>
  </si>
  <si>
    <t>הוצאות מו״פ</t>
  </si>
  <si>
    <t>הוצאות בישראל</t>
  </si>
  <si>
    <t>הכנסות במט״ח</t>
  </si>
  <si>
    <t>🟢</t>
  </si>
  <si>
    <t>המבקש</t>
  </si>
  <si>
    <t>🔴</t>
  </si>
  <si>
    <t>ביטולים</t>
  </si>
  <si>
    <t>🔵</t>
  </si>
  <si>
    <t>מאוחד</t>
  </si>
  <si>
    <t>הבדיקה מבוססת על הנתונים המאוחדים מלשונית 'קובץ הרכבה'. הסכומים והשיעורים מחושבים אוטומטית — אין להזין כאן נתונים כספיים.</t>
  </si>
  <si>
    <t>📊  נתוני הקבוצה המאוחדים (מקובץ ההרכבה)</t>
  </si>
  <si>
    <t>שיעור מו״פ מתוך סך ההוצאות</t>
  </si>
  <si>
    <t>שיעור הוצאות בישראל מתוך סך ההוצאות</t>
  </si>
  <si>
    <t>שיעור הכנסות במטבע זר מתוך סך ההכנסות</t>
  </si>
  <si>
    <t>🎯  סטטוס תנאי הסף</t>
  </si>
  <si>
    <t>🧮  נוסחאות תנאי הסף</t>
  </si>
  <si>
    <t>הסכומים והיחסים מחושבים מנתוני המבקש ומקובץ הרכבת הקבוצה. התנאים המשפטיים הכלליים ממשיכים להיבחן ביחס למבקש, אלא אם נקבע אחרת.</t>
  </si>
  <si>
    <t>רכיב מחושב</t>
  </si>
  <si>
    <t>נוסחה מתמטית</t>
  </si>
  <si>
    <t>פירוט רכיבים</t>
  </si>
  <si>
    <t>✍️  תנאי סף כלליים והצהרות (סמנו כן/לא)</t>
  </si>
  <si>
    <t>🎯   מטרת השלב</t>
  </si>
  <si>
    <t>✓   התוצר בסיום</t>
  </si>
  <si>
    <t>לחשב כמה חודשי פעילות נותרו לחברה עד לניצול מלא של המשאבים הזמינים.</t>
  </si>
  <si>
    <t>קצב הוצאות חודשי מותאם, משאבים זמינים, ואופק שרידות בחודשים — ותנאי הסף של עד 12 חודשים.</t>
  </si>
  <si>
    <t>📉  קצב הוצאות היסטורי</t>
  </si>
  <si>
    <t>🔁  התאמות הוצאות שלושת החודשים לקצב הוצאות במזומן</t>
  </si>
  <si>
    <t>💵  מקורות צפויים מותרים</t>
  </si>
  <si>
    <t>📊  תוצאה</t>
  </si>
  <si>
    <t>⚠️  כלל חישוב: אין לנטרל אוטומטית הוצאות חד־פעמיות, עונתיות או חריגות. ההתאמות מיועדות רק להסרת הוצאות שאינן כרוכות במזומן, ולהוספת תשלומי מזומן שלא נרשמו בהוצאות ולמניעת כפילויות.</t>
  </si>
  <si>
    <t>ℹ️  חשוב: לקוחות, הכנסות והון חוזר שכבר נכללו בהון החוזר — אין להזין את בסיסם שוב כמקור צפוי, אלא אם הופחתו תחילה בהתאמות ההון החוזר.</t>
  </si>
  <si>
    <t>🚫  מניעת כפל: הון חוזר של תאגיד קשור שנכלל בקובץ ההרכבה כבר נמצא במונה. יש לוודא שהמקור אינו נספר פעמיים.</t>
  </si>
  <si>
    <t>🧮  תחשיב החברה</t>
  </si>
  <si>
    <t>הון חוזר נטו מאוחד + מקורות צפויים מותרים שנכללו − ניכוי רכיבים שאינם זמינים, חלקי קצב ההוצאות החודשי המותאם.</t>
  </si>
  <si>
    <t>נוסחה מספרית</t>
  </si>
  <si>
    <t>פירוט</t>
  </si>
  <si>
    <t>קצב הוצאה חודשי</t>
  </si>
  <si>
    <t>משאבים זמינים</t>
  </si>
  <si>
    <t>עומד בתנאי (≤ 12 חודשים)</t>
  </si>
  <si>
    <t>חישוב אופק השרידות לפי הון חוזר נטו מותאם, מקורות צפויים מותרים וקצב ההוצאות בשלושת החודשים.</t>
  </si>
  <si>
    <t>שלב 5 — חישוב קצב ההוצאות החודשי הצפוי</t>
  </si>
  <si>
    <t>תחזית מקורות ושימושים לכל תקופת התכנית, לצורך חישוב הקצב החודשי הצפוי.</t>
  </si>
  <si>
    <t>לחשב את היקף ההוצאות החודשי הצפוי בתקופת התכנית, בנפרד מהקצב ההיסטורי ששימש לאופק השרידות.</t>
  </si>
  <si>
    <t>קצב הוצאות צפוי, הוצאות מו״פ צפויות, הוצאות בישראל ומקורות זמינים לתקופת התכנית.</t>
  </si>
  <si>
    <t>💰  מקורות צפויים בתקופת התכנית</t>
  </si>
  <si>
    <t>🧾  שימושים צפויים — בסיס לחישוב הקצב</t>
  </si>
  <si>
    <t>🚫  מניעת כפל: הון חוזר נטו ומקורות חתומים שכבר נכללו באופק השרידות מוצגים כאן אוטומטית — אין להזין אותם שוב. הכנסה שכבר נכללה בהון החוזר אינה מתווספת שוב.</t>
  </si>
  <si>
    <t>אסמכתה / הערת חישוב</t>
  </si>
  <si>
    <t>נגזר משלב 4 — הון חוזר נטו מאוחד</t>
  </si>
  <si>
    <t>נגזר משלב 4 — מקורות חתומים שנכללו</t>
  </si>
  <si>
    <t>📈  פלט שלב 5 — קצב ההוצאות החודשי הצפוי</t>
  </si>
  <si>
    <t>כלל השימושים הצפויים · תקופת התכנית = אופק שרידות + 6 חודשים.</t>
  </si>
  <si>
    <t>קצב הוצאה חודשי צפוי</t>
  </si>
  <si>
    <t>מתוכו מו״פ</t>
  </si>
  <si>
    <t>מתוכו בישראל</t>
  </si>
  <si>
    <t>תקופת התכנית</t>
  </si>
  <si>
    <t>עזר — תקופת התכנית:</t>
  </si>
  <si>
    <t>הצגת התחשיב המלא והסבר לכל נוסחה, על בסיס הנתונים הזמינים במצב הנוכחי.</t>
  </si>
  <si>
    <t>לתרגם את אופק השרידות והקצב הצפוי לתקופת מו״פ, מענק, תקציב ושיעור השתתפות.</t>
  </si>
  <si>
    <t>אומדן מענק מפורט לפי נתוני החברה, בשני תרחישי אישור אפשריים של הוועדה.</t>
  </si>
  <si>
    <t>ℹ️  תקופת ההארכה המלאה (6 חודשים) משמשת רק לחישוב התקרה; חודשי המענק בפועל הם 2 או 3, לפי החלטת הוועדה. שתי העמודות מוצגות במקביל להשוואה.</t>
  </si>
  <si>
    <t>⚖️  השוואת תרחישי מענק אפשריים</t>
  </si>
  <si>
    <t>🎯  תרחיש נבחר לאומדן המענק</t>
  </si>
  <si>
    <t>בחרו את מספר חודשי המענק לתחשיב</t>
  </si>
  <si>
    <t>תקופת מו״פ</t>
  </si>
  <si>
    <t>מענק בתרחיש שנבחר</t>
  </si>
  <si>
    <t>תקציב מו״פ מבוקר</t>
  </si>
  <si>
    <t>🧾  פירוט מלא של שרשרת החישוב</t>
  </si>
  <si>
    <t>הסבר ומקור</t>
  </si>
  <si>
    <t>1. הוצאות שלושת חודשי הבסיס לאחר התאמות</t>
  </si>
  <si>
    <t>שלבים 2 ו-4 — קובץ ההרכבה והתאמות המזומן</t>
  </si>
  <si>
    <t>2. קצב הוצאות חודשי היסטורי</t>
  </si>
  <si>
    <t>משמש רק לחישוב אופק השרידות</t>
  </si>
  <si>
    <t>3. משאבים זמינים</t>
  </si>
  <si>
    <t>הון חוזר נטו + מקורות מותרים − ניכוי</t>
  </si>
  <si>
    <t>4. אופק שרידות</t>
  </si>
  <si>
    <t>תנאי הסף: עד 12 חודשים</t>
  </si>
  <si>
    <t>5. תקופת מו״פ מחושבת</t>
  </si>
  <si>
    <t>אופק שרידות + 6 חודשי הארכה</t>
  </si>
  <si>
    <t>6. קצב הוצאות חודשי צפוי</t>
  </si>
  <si>
    <t>נמשך משלב 5 — בסיס חישוב המענק</t>
  </si>
  <si>
    <t>7. הוצאות צפויות בתקופת ההארכה</t>
  </si>
  <si>
    <t>משמש לחישוב התקרה בלבד</t>
  </si>
  <si>
    <t>8. מענק ראשוני בתרחיש שנבחר</t>
  </si>
  <si>
    <t>קצב צפוי × חודשי המענק בתרחיש</t>
  </si>
  <si>
    <t>9. מקורות לבסיס חישוב תקציב המו״פ</t>
  </si>
  <si>
    <t>מקורות מותרים + המענק הראשוני</t>
  </si>
  <si>
    <t>10. תקציב מו״פ לפי שיעור המו״פ</t>
  </si>
  <si>
    <t>שיעור המו״פ שחושב ל-12 החודשים × המקורות</t>
  </si>
  <si>
    <t>11. בקרת הוצאות מו״פ צפויות</t>
  </si>
  <si>
    <t>התקציב מוגבל להוצאות המו״פ הצפויות בפועל</t>
  </si>
  <si>
    <t>12. מענק לאחר בקרת תקציב</t>
  </si>
  <si>
    <t>המענק אינו יכול לעלות על תקציב המו״פ המבוקר</t>
  </si>
  <si>
    <t>13. תקרת מענק לפי מסלול</t>
  </si>
  <si>
    <t>לפי מסלול ההטבה שנקבע בלשונית ההנחיות</t>
  </si>
  <si>
    <t>14. מענק סופי לאחר תקרה</t>
  </si>
  <si>
    <t>הסכום שיאושר בפועל בתרחיש שנבחר</t>
  </si>
  <si>
    <t>15. שיעור השתתפות הרשות</t>
  </si>
  <si>
    <t>מענק ÷ תקציב מו״פ מבוקר</t>
  </si>
  <si>
    <t>16. מימון משלים נדרש</t>
  </si>
  <si>
    <t>החלק בתקציב המו״פ שאינו ממומן במענק</t>
  </si>
  <si>
    <t>17. יתרה צפויה בסוף התקופה</t>
  </si>
  <si>
    <t>כל המקורות המזומניים + מענק − כלל השימושים</t>
  </si>
  <si>
    <t>שלב 1 — מדריך והנחיות | טופס בקשה פיננסית · מסלול מהיר 2026</t>
  </si>
  <si>
    <t>שלב 2.1 — פרטי בקשה</t>
  </si>
  <si>
    <t>שלב 2.2 — מבנה ההחזקות (לפני הנתונים)</t>
  </si>
  <si>
    <t>שלב 2.3 — מצב כספי למועד החתך (מאזן)</t>
  </si>
  <si>
    <t>שלב 2.4 — הכנסות והוצאות</t>
  </si>
  <si>
    <t>שלב 2.5 — עלויות מו״פ שהוונו לנכס</t>
  </si>
  <si>
    <t>שלב 2.7 — משקיעי החברה</t>
  </si>
  <si>
    <t>שלב 2.8 — נתונים מאוחדים (קובץ הרכבה): המבקש והישויות הקשורות</t>
  </si>
  <si>
    <t>⌂  שלב 1 — מדריך והנחיות</t>
  </si>
  <si>
    <t>→  הקודם: 2.1 פרטי בקשה</t>
  </si>
  <si>
    <t>הבא: 2.3 מצב כספי  ←</t>
  </si>
  <si>
    <t>→  הקודם: 2.2 מבנה החזקות</t>
  </si>
  <si>
    <t>הבא: 2.4 הכנסות והוצאות  ←</t>
  </si>
  <si>
    <t>→  הקודם: 2.3 מצב כספי</t>
  </si>
  <si>
    <t>הבא: 2.5 עלויות מו״פ שהוונו  ←</t>
  </si>
  <si>
    <t>→  הקודם: 2.4 הכנסות והוצאות</t>
  </si>
  <si>
    <t>הבא: 2.6 מו״פ וישראל  ←</t>
  </si>
  <si>
    <t>→  הקודם: 2.5 עלויות מו״פ שהוונו</t>
  </si>
  <si>
    <t>הבא: 2.7 משקיעים  ←</t>
  </si>
  <si>
    <t>→  הקודם: 2.6 מו״פ וישראל</t>
  </si>
  <si>
    <t>הבא: 2.8 נתונים מאוחדים  ←</t>
  </si>
  <si>
    <t>→  הקודם: 2.7 משקיעים</t>
  </si>
  <si>
    <t>→  הקודם: 2.8 נתונים מאוחדים</t>
  </si>
  <si>
    <t>הבא: 5. קצב הוצאות צפוי  ←</t>
  </si>
  <si>
    <t>→  הקודם: 5. קצב הוצאות צפוי</t>
  </si>
  <si>
    <t>🗺️  מפת התהליך — לחצו על כל שלב כדי לעבור אליו</t>
  </si>
  <si>
    <t>שלב 1  ·  מדריך והנחיות</t>
  </si>
  <si>
    <t>פרמטרים, תנאי מסלול והסבר על אופן המילוי</t>
  </si>
  <si>
    <t>שלב 2  ·  הזנת נתונים (2.1–2.8)</t>
  </si>
  <si>
    <t>כל נתוני המבקש והישויות הקשורות, עד לקובץ הנתונים המאוחדים</t>
  </si>
  <si>
    <t>שלב 3  ·  בדיקת תנאי סף</t>
  </si>
  <si>
    <t>נבדק אוטומטית מהנתונים המאוחדים</t>
  </si>
  <si>
    <t>שלב 4  ·  חישוב אופק שרידות</t>
  </si>
  <si>
    <t>הון חוזר ומקורות מול קצב ההוצאות ההיסטורי</t>
  </si>
  <si>
    <t>שלב 5  ·  קצב הוצאות חודשי צפוי</t>
  </si>
  <si>
    <t>מקורות ושימושים לתקופת התכנית</t>
  </si>
  <si>
    <t>שלב 6.1  ·  חישוב מענק הרשות</t>
  </si>
  <si>
    <t>שני תרחישי אישור ושרשרת החישוב המלאה</t>
  </si>
  <si>
    <t>שלב 6.2  ·  הצהרה וחתימה</t>
  </si>
  <si>
    <t>הצהרת השלמה בידי מורשי החתימה</t>
  </si>
  <si>
    <t>↓</t>
  </si>
  <si>
    <t>2.1 פרטי בקשה</t>
  </si>
  <si>
    <t>2.2 מבנה החזקות</t>
  </si>
  <si>
    <t>2.3 מצב כספי</t>
  </si>
  <si>
    <t>2.4 הכנסות והוצאות</t>
  </si>
  <si>
    <t>2.5 עלויות מו״פ שהוונו</t>
  </si>
  <si>
    <t>2.6 מו״פ וישראל</t>
  </si>
  <si>
    <t>2.7 משקיעים</t>
  </si>
  <si>
    <t>2.8 נתונים מאוחדים</t>
  </si>
  <si>
    <t xml:space="preserve">פרט את היסטוריית סבבי הגיוס הקודמים שביצעה החברה מיום הקמתה ועד כה. </t>
  </si>
  <si>
    <t>יש להציג לפי סבבי הגיוס ( Pre-Seed / Seed / Round Aו כו')</t>
  </si>
  <si>
    <t>סבב גיוס</t>
  </si>
  <si>
    <t>מועד הגיוס</t>
  </si>
  <si>
    <t>השקעות שהתקבלו בפועל עד מועד החתך.- יש לתרגם את סכומי ההשקעות לשקלים</t>
  </si>
  <si>
    <t>שווי לפני הכסף</t>
  </si>
  <si>
    <t>צפי להמשך השקעה, פרט ככל הידוע את המימון הצפוי ואת סטטוס ההתחייבות</t>
  </si>
  <si>
    <t>WORK_CELL</t>
  </si>
  <si>
    <t>template_time</t>
  </si>
  <si>
    <t>template_date</t>
  </si>
  <si>
    <t>XL_VERS</t>
  </si>
  <si>
    <t>base_name</t>
  </si>
  <si>
    <t>track_id</t>
  </si>
  <si>
    <t>build_num</t>
  </si>
  <si>
    <t>xl_file_name</t>
  </si>
  <si>
    <t>=MID(CELL("filename"),SEARCH("[",CELL("filename"))+1, SEARCH("]",CELL("filename"))-SEARCH("[",CELL("filename"))-1)</t>
  </si>
  <si>
    <t>cell_vers_title</t>
  </si>
  <si>
    <t>CTRL ;</t>
  </si>
  <si>
    <t>CTRL SFT ;</t>
  </si>
  <si>
    <t>fast26_finance</t>
  </si>
  <si>
    <t>track_fast26_</t>
  </si>
  <si>
    <t>Version Num</t>
  </si>
  <si>
    <t>Template Date</t>
  </si>
  <si>
    <t>הבא - 2.2 מבנה ההחזקות</t>
  </si>
  <si>
    <t>שלב 3 — חישוב אופק השרידות</t>
  </si>
  <si>
    <t>שלב 4 — בדיקת תנאי סף (מאוחד)</t>
  </si>
  <si>
    <t>שלב 6 — חישוב נתוני מענק הרשות</t>
  </si>
  <si>
    <t>מענק מחושב (לאחר תקרה)</t>
  </si>
  <si>
    <t>3</t>
  </si>
  <si>
    <t>4</t>
  </si>
  <si>
    <t>5</t>
  </si>
  <si>
    <t>6</t>
  </si>
  <si>
    <t>7</t>
  </si>
  <si>
    <t>8</t>
  </si>
  <si>
    <t>9</t>
  </si>
  <si>
    <t>10</t>
  </si>
  <si>
    <t>11</t>
  </si>
  <si>
    <t>12</t>
  </si>
  <si>
    <t>שלב 2.6: סה"ה הוצאות, פירוט הוצאות מו"מ והוצאות בישראל</t>
  </si>
  <si>
    <t>הבא: 4. בדיקת תנאי סף</t>
  </si>
  <si>
    <t>הבא: 6 חישוב מענק  ←</t>
  </si>
  <si>
    <t>הבא: 3. אופק שרידות  ←</t>
  </si>
  <si>
    <t>פעילות עיקרית הינה קידום פעילות המבקש?</t>
  </si>
  <si>
    <t>שורות הישויות והביטולים סגורות ואינן ניתנות למילוי🔒  כל עוד לא נבחר 'כן' בלשונית 'מבנה החזקות</t>
  </si>
  <si>
    <t>הערות רו"ח (לא למילוי החברה)</t>
  </si>
  <si>
    <t xml:space="preserve"> שיעור הוצאות מתוך סה״כ הוצאות</t>
  </si>
  <si>
    <t>→  הקודם: 3.0 אופק שרידות</t>
  </si>
  <si>
    <t>→  הקודם: 4. תנאי סף</t>
  </si>
  <si>
    <t xml:space="preserve"> הבא 2.2 — מבנה ההחזקות</t>
  </si>
  <si>
    <t>שמונה לשוניות ההזנה של שלב 2. 
סיימו אותן לפי הסדר
 קובץ הנתונים המאוחדים (2.8)
מסכם את כולן
 ומזין את שלבים 3–6.</t>
  </si>
  <si>
    <t>1046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</si>
</sst>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0&quot; ₪&quot;"/>
    <numFmt numFmtId="166" formatCode="#,##0&quot; ₪&quot;;[Red]\(#,##0&quot; ₪)&quot;;\-"/>
    <numFmt numFmtId="167" formatCode="0.0%"/>
    <numFmt numFmtId="168" formatCode="yyyy\-mm\-dd"/>
    <numFmt numFmtId="169" formatCode="0&quot;%&quot;"/>
    <numFmt numFmtId="170" formatCode="0.0&quot; חודשים&quot;"/>
    <numFmt numFmtId="171" formatCode="0.00&quot; חודשים&quot;"/>
    <numFmt numFmtId="172" formatCode="d\.m\.yyyy"/>
    <numFmt numFmtId="173" formatCode="hh\.mm"/>
    <numFmt numFmtId="174" formatCode="yyyy\-mm\-dd;@"/>
    <numFmt numFmtId="175" formatCode="yy\.mm\.dd"/>
  </numFmts>
  <fonts count="102" x14ac:knownFonts="1">
    <font>
      <sz val="11"/>
      <color theme="1"/>
      <name val="Calibri"/>
      <charset val="1"/>
    </font>
    <font>
      <b/>
      <sz val="19"/>
      <color rgb="FFFFFFFF"/>
      <name val="Arial"/>
      <family val="2"/>
    </font>
    <font>
      <sz val="10"/>
      <color rgb="FF17213A"/>
      <name val="Arial"/>
      <family val="2"/>
    </font>
    <font>
      <b/>
      <sz val="11"/>
      <color rgb="FFFFFFFF"/>
      <name val="Arial"/>
      <family val="2"/>
    </font>
    <font>
      <b/>
      <sz val="9"/>
      <color rgb="FF0B0D6F"/>
      <name val="Arial"/>
      <family val="2"/>
    </font>
    <font>
      <b/>
      <sz val="9"/>
      <color rgb="FF66738C"/>
      <name val="Arial"/>
      <family val="2"/>
    </font>
    <font>
      <b/>
      <sz val="10"/>
      <color rgb="FF0B0D6F"/>
      <name val="Arial"/>
      <family val="2"/>
    </font>
    <font>
      <b/>
      <sz val="18"/>
      <color rgb="FF17213A"/>
      <name val="Arial"/>
      <family val="2"/>
    </font>
    <font>
      <b/>
      <sz val="16"/>
      <color rgb="FFFFFFFF"/>
      <name val="Arial"/>
      <family val="2"/>
    </font>
    <font>
      <b/>
      <sz val="10"/>
      <color rgb="FF17213A"/>
      <name val="Arial"/>
      <family val="2"/>
    </font>
    <font>
      <i/>
      <sz val="9"/>
      <color rgb="FF66738C"/>
      <name val="Arial"/>
      <family val="2"/>
    </font>
    <font>
      <u/>
      <sz val="11"/>
      <color theme="10"/>
      <name val="Calibri"/>
      <family val="2"/>
    </font>
    <font>
      <b/>
      <sz val="16"/>
      <color rgb="FFFFFFFF"/>
      <name val="Arial"/>
      <family val="2"/>
    </font>
    <font>
      <sz val="9"/>
      <color rgb="FF66738C"/>
      <name val="Arial"/>
      <family val="2"/>
    </font>
    <font>
      <i/>
      <sz val="9"/>
      <color rgb="FF66738C"/>
      <name val="Arial"/>
      <family val="2"/>
    </font>
    <font>
      <b/>
      <sz val="11"/>
      <color rgb="FFFFFFFF"/>
      <name val="Arial"/>
      <family val="2"/>
    </font>
    <font>
      <b/>
      <sz val="10"/>
      <color rgb="FF0B0D6F"/>
      <name val="Arial"/>
      <family val="2"/>
    </font>
    <font>
      <sz val="10"/>
      <color rgb="FF17213A"/>
      <name val="Arial"/>
      <family val="2"/>
    </font>
    <font>
      <b/>
      <sz val="10"/>
      <color rgb="FF17213A"/>
      <name val="Arial"/>
      <family val="2"/>
    </font>
    <font>
      <b/>
      <u/>
      <sz val="9"/>
      <color rgb="FF0B0D6F"/>
      <name val="Arial"/>
      <family val="2"/>
    </font>
    <font>
      <sz val="10"/>
      <color rgb="FF66738C"/>
      <name val="Arial"/>
      <family val="2"/>
    </font>
    <font>
      <b/>
      <sz val="11"/>
      <color rgb="FF0B0D6F"/>
      <name val="Arial"/>
      <family val="2"/>
    </font>
    <font>
      <b/>
      <sz val="10"/>
      <color rgb="FF0000FF"/>
      <name val="Arial"/>
      <family val="2"/>
    </font>
    <font>
      <b/>
      <sz val="10"/>
      <color rgb="FF087A58"/>
      <name val="Arial"/>
      <family val="2"/>
    </font>
    <font>
      <b/>
      <sz val="10"/>
      <color rgb="FFB3261E"/>
      <name val="Arial"/>
      <family val="2"/>
    </font>
    <font>
      <sz val="10"/>
      <color rgb="FF0B0D6F"/>
      <name val="Arial"/>
      <family val="2"/>
    </font>
    <font>
      <b/>
      <sz val="12"/>
      <color rgb="FFFFFFFF"/>
      <name val="Arial"/>
      <family val="2"/>
    </font>
    <font>
      <b/>
      <sz val="9"/>
      <color rgb="FF1B218F"/>
      <name val="Arial"/>
      <family val="2"/>
    </font>
    <font>
      <b/>
      <sz val="12"/>
      <color rgb="FF1B218F"/>
      <name val="Arial"/>
      <family val="2"/>
    </font>
    <font>
      <i/>
      <sz val="9"/>
      <color rgb="FF8A93B8"/>
      <name val="Arial"/>
      <family val="2"/>
    </font>
    <font>
      <sz val="10"/>
      <color rgb="FF123C7A"/>
      <name val="Arial"/>
      <family val="2"/>
    </font>
    <font>
      <sz val="10"/>
      <color rgb="FF0000FF"/>
      <name val="Arial"/>
      <family val="2"/>
    </font>
    <font>
      <b/>
      <sz val="26"/>
      <color rgb="FF0B0D6F"/>
      <name val="Arial"/>
      <family val="2"/>
    </font>
    <font>
      <b/>
      <sz val="10"/>
      <color rgb="FF008000"/>
      <name val="Arial"/>
      <family val="2"/>
    </font>
    <font>
      <sz val="10"/>
      <color rgb="FFB3261E"/>
      <name val="Arial"/>
      <family val="2"/>
    </font>
    <font>
      <b/>
      <sz val="20"/>
      <color rgb="FF087A58"/>
      <name val="Arial"/>
      <family val="2"/>
    </font>
    <font>
      <sz val="9"/>
      <color rgb="FF8A93B8"/>
      <name val="Arial"/>
      <family val="2"/>
    </font>
    <font>
      <sz val="9"/>
      <color rgb="FF17213A"/>
      <name val="Arial"/>
      <family val="2"/>
    </font>
    <font>
      <sz val="9"/>
      <color rgb="FF8A5B00"/>
      <name val="Arial"/>
      <family val="2"/>
    </font>
    <font>
      <sz val="9"/>
      <color rgb="FF123C7A"/>
      <name val="Arial"/>
      <family val="2"/>
    </font>
    <font>
      <b/>
      <sz val="11"/>
      <color rgb="FF087A58"/>
      <name val="Arial"/>
      <family val="2"/>
    </font>
    <font>
      <b/>
      <sz val="13"/>
      <color rgb="FF0B0D6F"/>
      <name val="Arial"/>
      <family val="2"/>
    </font>
    <font>
      <b/>
      <sz val="14"/>
      <color rgb="FF0B0D6F"/>
      <name val="Arial"/>
      <family val="2"/>
    </font>
    <font>
      <b/>
      <sz val="14"/>
      <color rgb="FF087A58"/>
      <name val="Arial"/>
      <family val="2"/>
    </font>
    <font>
      <b/>
      <sz val="10"/>
      <color rgb="FF123C7A"/>
      <name val="Arial"/>
      <family val="2"/>
    </font>
    <font>
      <b/>
      <sz val="9"/>
      <color rgb="FF087A58"/>
      <name val="Arial"/>
      <family val="2"/>
    </font>
    <font>
      <b/>
      <sz val="13"/>
      <color rgb="FF087A58"/>
      <name val="Arial"/>
      <family val="2"/>
    </font>
    <font>
      <sz val="8"/>
      <color rgb="FFC3C8D4"/>
      <name val="Calibri"/>
      <family val="2"/>
    </font>
    <font>
      <b/>
      <sz val="9"/>
      <color rgb="FF17213A"/>
      <name val="Arial"/>
      <family val="2"/>
    </font>
    <font>
      <b/>
      <sz val="12"/>
      <color rgb="FF087A58"/>
      <name val="Arial"/>
      <family val="2"/>
    </font>
    <font>
      <b/>
      <sz val="12"/>
      <color rgb="FF17213A"/>
      <name val="Arial"/>
      <family val="2"/>
    </font>
    <font>
      <b/>
      <sz val="13"/>
      <color rgb="FF4B2E83"/>
      <name val="Arial"/>
      <family val="2"/>
    </font>
    <font>
      <b/>
      <sz val="13"/>
      <color rgb="FFB3261E"/>
      <name val="Arial"/>
      <family val="2"/>
    </font>
    <font>
      <b/>
      <sz val="11"/>
      <color rgb="FF4B2E83"/>
      <name val="Arial"/>
      <family val="2"/>
    </font>
    <font>
      <sz val="9"/>
      <color rgb="FF6B5B95"/>
      <name val="Arial"/>
      <family val="2"/>
    </font>
    <font>
      <b/>
      <u/>
      <sz val="11"/>
      <color rgb="FFFFFFFF"/>
      <name val="Arial"/>
      <family val="2"/>
    </font>
    <font>
      <b/>
      <sz val="9"/>
      <color rgb="FF0B0D6F"/>
      <name val="Arial"/>
      <family val="2"/>
    </font>
    <font>
      <b/>
      <sz val="11"/>
      <color theme="1"/>
      <name val="Calibri"/>
      <family val="2"/>
    </font>
    <font>
      <sz val="11"/>
      <color theme="1"/>
      <name val="David"/>
      <family val="2"/>
    </font>
    <font>
      <sz val="12"/>
      <color theme="1"/>
      <name val="David"/>
      <family val="2"/>
    </font>
    <font>
      <b/>
      <sz val="12"/>
      <color theme="1"/>
      <name val="David"/>
      <family val="2"/>
    </font>
    <font>
      <sz val="14"/>
      <color theme="1"/>
      <name val="David"/>
      <family val="2"/>
    </font>
    <font>
      <sz val="10"/>
      <color theme="1"/>
      <name val="David"/>
      <family val="2"/>
    </font>
    <font>
      <b/>
      <sz val="10"/>
      <color theme="1"/>
      <name val="David"/>
      <family val="2"/>
    </font>
    <font>
      <sz val="10"/>
      <color rgb="FF002060"/>
      <name val="Arial"/>
      <family val="2"/>
    </font>
    <font>
      <i/>
      <sz val="9"/>
      <color rgb="FF002060"/>
      <name val="Arial"/>
      <family val="2"/>
    </font>
    <font>
      <i/>
      <sz val="10"/>
      <color rgb="FF002060"/>
      <name val="Arial"/>
      <family val="2"/>
    </font>
    <font>
      <sz val="9"/>
      <color rgb="FF002060"/>
      <name val="Arial"/>
      <family val="2"/>
    </font>
    <font>
      <sz val="9"/>
      <color rgb="FF002060"/>
      <name val="Calibri"/>
      <family val="2"/>
    </font>
    <font>
      <sz val="8"/>
      <color rgb="FF002060"/>
      <name val="Calibri"/>
      <family val="2"/>
    </font>
    <font>
      <b/>
      <sz val="11"/>
      <color theme="1"/>
      <name val="David"/>
      <family val="2"/>
    </font>
    <font>
      <b/>
      <sz val="9"/>
      <color theme="1"/>
      <name val="Arial"/>
      <family val="2"/>
    </font>
    <font>
      <u/>
      <sz val="11"/>
      <color theme="3" tint="0.59999389629810485"/>
      <name val="Calibri"/>
      <family val="2"/>
    </font>
    <font>
      <b/>
      <sz val="10"/>
      <color theme="1"/>
      <name val="Arial"/>
      <family val="2"/>
    </font>
    <font>
      <b/>
      <sz val="10"/>
      <color rgb="FF087A58"/>
      <name val="Arial"/>
      <family val="2"/>
    </font>
    <font>
      <b/>
      <sz val="16"/>
      <color rgb="FFFFFFFF"/>
      <name val="Arial"/>
      <family val="2"/>
    </font>
    <font>
      <b/>
      <sz val="11"/>
      <color rgb="FF5C6982"/>
      <name val="Arial"/>
      <family val="2"/>
    </font>
    <font>
      <sz val="10"/>
      <color rgb="FF17213A"/>
      <name val="Arial"/>
      <family val="2"/>
    </font>
    <font>
      <sz val="10"/>
      <color rgb="FF0000FF"/>
      <name val="Arial"/>
      <family val="2"/>
    </font>
    <font>
      <sz val="10"/>
      <color theme="5" tint="-0.499984740745262"/>
      <name val="Arial"/>
      <family val="2"/>
    </font>
    <font>
      <b/>
      <sz val="10"/>
      <color rgb="FF008000"/>
      <name val="Arial"/>
      <family val="2"/>
    </font>
    <font>
      <sz val="11"/>
      <color theme="1"/>
      <name val="Calibri"/>
      <family val="2"/>
    </font>
    <font>
      <b/>
      <sz val="11"/>
      <color theme="0"/>
      <name val="Arial"/>
      <family val="2"/>
    </font>
    <font>
      <b/>
      <sz val="11"/>
      <color rgb="FF17213A"/>
      <name val="Arial"/>
      <family val="2"/>
    </font>
    <font>
      <i/>
      <sz val="12"/>
      <color rgb="FF002060"/>
      <name val="Arial"/>
      <family val="2"/>
    </font>
    <font>
      <i/>
      <sz val="12"/>
      <color rgb="FF66738C"/>
      <name val="Arial"/>
      <family val="2"/>
    </font>
    <font>
      <sz val="12"/>
      <color theme="1"/>
      <name val="Arial"/>
      <family val="2"/>
    </font>
    <font>
      <b/>
      <sz val="18"/>
      <color rgb="FF0B0D6F"/>
      <name val="Arial"/>
      <family val="2"/>
    </font>
    <font>
      <i/>
      <sz val="18"/>
      <color rgb="FF002060"/>
      <name val="Arial"/>
      <family val="2"/>
    </font>
    <font>
      <i/>
      <sz val="18"/>
      <color rgb="FF8A93B8"/>
      <name val="Arial"/>
      <family val="2"/>
    </font>
    <font>
      <b/>
      <sz val="18"/>
      <color rgb="FFFFFFFF"/>
      <name val="Arial"/>
      <family val="2"/>
    </font>
    <font>
      <b/>
      <sz val="12"/>
      <color rgb="FF0B0D6F"/>
      <name val="Arial"/>
      <family val="2"/>
    </font>
    <font>
      <sz val="12"/>
      <color rgb="FF0B0D6F"/>
      <name val="Arial"/>
      <family val="2"/>
    </font>
    <font>
      <b/>
      <sz val="11"/>
      <color rgb="FF002060"/>
      <name val="Arial"/>
      <family val="2"/>
    </font>
    <font>
      <b/>
      <sz val="12"/>
      <color rgb="FF002060"/>
      <name val="Arial"/>
      <family val="2"/>
    </font>
    <font>
      <b/>
      <sz val="12"/>
      <color theme="1"/>
      <name val="Arial"/>
      <family val="2"/>
    </font>
    <font>
      <sz val="10"/>
      <color rgb="FF005800"/>
      <name val="Arial"/>
      <family val="2"/>
    </font>
    <font>
      <b/>
      <sz val="12"/>
      <color theme="1"/>
      <name val="Calibri"/>
      <family val="2"/>
    </font>
    <font>
      <b/>
      <sz val="12"/>
      <name val="Arial"/>
      <family val="2"/>
    </font>
    <font>
      <b/>
      <sz val="12"/>
      <color rgb="FF7030A0"/>
      <name val="Arial"/>
      <family val="2"/>
    </font>
    <font>
      <i/>
      <sz val="11"/>
      <color rgb="FF002060"/>
      <name val="Arial"/>
      <family val="2"/>
    </font>
    <font>
      <b/>
      <sz val="12"/>
      <color theme="10"/>
      <name val="Arial"/>
      <family val="2"/>
    </font>
  </fonts>
  <fills count="50">
    <fill>
      <patternFill patternType="none"/>
    </fill>
    <fill>
      <patternFill patternType="gray125"/>
    </fill>
    <fill>
      <patternFill patternType="solid">
        <fgColor rgb="FF0B0D6F"/>
        <bgColor rgb="FF0A0B78"/>
      </patternFill>
    </fill>
    <fill>
      <patternFill patternType="solid">
        <fgColor rgb="FFEEF2FF"/>
        <bgColor rgb="FFF0F3FA"/>
      </patternFill>
    </fill>
    <fill>
      <patternFill patternType="solid">
        <fgColor rgb="FFFFFFFF"/>
        <bgColor rgb="FFFAFBFD"/>
      </patternFill>
    </fill>
    <fill>
      <patternFill patternType="solid">
        <fgColor rgb="FF1B218F"/>
        <bgColor rgb="FF0A2F78"/>
      </patternFill>
    </fill>
    <fill>
      <patternFill patternType="solid">
        <fgColor rgb="FFEAF0FF"/>
        <bgColor rgb="FFEEF2FF"/>
      </patternFill>
    </fill>
    <fill>
      <patternFill patternType="solid">
        <fgColor rgb="FFF8FAFD"/>
        <bgColor rgb="FFFAFBFD"/>
      </patternFill>
    </fill>
    <fill>
      <patternFill patternType="solid">
        <fgColor rgb="FFFAFBFD"/>
        <bgColor rgb="FFF8FAFD"/>
      </patternFill>
    </fill>
    <fill>
      <patternFill patternType="solid">
        <fgColor rgb="FFEDF6FF"/>
        <bgColor rgb="FFEEF6FF"/>
      </patternFill>
    </fill>
    <fill>
      <patternFill patternType="solid">
        <fgColor rgb="FFFFF7CC"/>
        <bgColor rgb="FFFFFBD0"/>
      </patternFill>
    </fill>
    <fill>
      <patternFill patternType="solid">
        <fgColor rgb="FFF0F3FA"/>
        <bgColor rgb="FFEEF2FF"/>
      </patternFill>
    </fill>
    <fill>
      <patternFill patternType="solid">
        <fgColor rgb="FFE8EEF9"/>
        <bgColor rgb="FFE8EDF5"/>
      </patternFill>
    </fill>
    <fill>
      <patternFill patternType="solid">
        <fgColor rgb="FFE8F8F1"/>
        <bgColor indexed="64"/>
      </patternFill>
    </fill>
    <fill>
      <patternFill patternType="solid">
        <fgColor rgb="FF0B0D6F"/>
        <bgColor indexed="64"/>
      </patternFill>
    </fill>
    <fill>
      <patternFill patternType="solid">
        <fgColor rgb="FF1B218F"/>
        <bgColor indexed="64"/>
      </patternFill>
    </fill>
    <fill>
      <patternFill patternType="solid">
        <fgColor rgb="FFE8EEF9"/>
        <bgColor indexed="64"/>
      </patternFill>
    </fill>
    <fill>
      <patternFill patternType="solid">
        <fgColor rgb="FFEDF6FF"/>
        <bgColor indexed="64"/>
      </patternFill>
    </fill>
    <fill>
      <patternFill patternType="solid">
        <fgColor rgb="FFEAF0FF"/>
        <bgColor indexed="64"/>
      </patternFill>
    </fill>
    <fill>
      <patternFill patternType="solid">
        <fgColor rgb="FFF0F3FA"/>
        <bgColor indexed="64"/>
      </patternFill>
    </fill>
    <fill>
      <patternFill patternType="solid">
        <fgColor rgb="FFFFF0EE"/>
        <bgColor indexed="64"/>
      </patternFill>
    </fill>
    <fill>
      <patternFill patternType="solid">
        <fgColor rgb="FFFFF7CC"/>
        <bgColor indexed="64"/>
      </patternFill>
    </fill>
    <fill>
      <patternFill patternType="solid">
        <fgColor rgb="FF8A93B8"/>
        <bgColor indexed="64"/>
      </patternFill>
    </fill>
    <fill>
      <patternFill patternType="solid">
        <fgColor rgb="FFF7F9FE"/>
        <bgColor indexed="64"/>
      </patternFill>
    </fill>
    <fill>
      <patternFill patternType="solid">
        <fgColor rgb="FFFFFFFF"/>
        <bgColor indexed="64"/>
      </patternFill>
    </fill>
    <fill>
      <patternFill patternType="solid">
        <fgColor rgb="FFF2F6FF"/>
        <bgColor indexed="64"/>
      </patternFill>
    </fill>
    <fill>
      <patternFill patternType="solid">
        <fgColor rgb="FFF2F8FF"/>
        <bgColor indexed="64"/>
      </patternFill>
    </fill>
    <fill>
      <patternFill patternType="solid">
        <fgColor rgb="FFFAFBFE"/>
        <bgColor indexed="64"/>
      </patternFill>
    </fill>
    <fill>
      <patternFill patternType="solid">
        <fgColor rgb="FFEAF7EF"/>
        <bgColor indexed="64"/>
      </patternFill>
    </fill>
    <fill>
      <patternFill patternType="solid">
        <fgColor rgb="FFF5F9FF"/>
        <bgColor indexed="64"/>
      </patternFill>
    </fill>
    <fill>
      <patternFill patternType="solid">
        <fgColor rgb="FFFFF8E1"/>
        <bgColor indexed="64"/>
      </patternFill>
    </fill>
    <fill>
      <patternFill patternType="solid">
        <fgColor rgb="FFF7FBF9"/>
        <bgColor indexed="64"/>
      </patternFill>
    </fill>
    <fill>
      <patternFill patternType="solid">
        <fgColor rgb="FFF5F0FF"/>
        <bgColor indexed="64"/>
      </patternFill>
    </fill>
    <fill>
      <patternFill patternType="solid">
        <fgColor rgb="FFFDECEC"/>
        <bgColor indexed="64"/>
      </patternFill>
    </fill>
    <fill>
      <patternFill patternType="solid">
        <fgColor rgb="FFF4F6FB"/>
        <bgColor indexed="64"/>
      </patternFill>
    </fill>
    <fill>
      <patternFill patternType="solid">
        <fgColor rgb="FF4B2E83"/>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79998168889431442"/>
        <bgColor theme="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EF4EC"/>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DE9D9"/>
        <bgColor indexed="64"/>
      </patternFill>
    </fill>
  </fills>
  <borders count="161">
    <border>
      <left/>
      <right/>
      <top/>
      <bottom/>
      <diagonal/>
    </border>
    <border>
      <left/>
      <right/>
      <top/>
      <bottom style="thin">
        <color rgb="FFE8EDF5"/>
      </bottom>
      <diagonal/>
    </border>
    <border>
      <left style="thin">
        <color rgb="FFD9E2F0"/>
      </left>
      <right style="thin">
        <color rgb="FFD9E2F0"/>
      </right>
      <top style="thin">
        <color rgb="FFD9E2F0"/>
      </top>
      <bottom style="thin">
        <color rgb="FFD9E2F0"/>
      </bottom>
      <diagonal/>
    </border>
    <border>
      <left style="thin">
        <color rgb="FFD6C45C"/>
      </left>
      <right style="thin">
        <color rgb="FFD6C45C"/>
      </right>
      <top style="thin">
        <color rgb="FFD6C45C"/>
      </top>
      <bottom style="thin">
        <color rgb="FFD6C45C"/>
      </bottom>
      <diagonal/>
    </border>
    <border>
      <left style="thin">
        <color rgb="FFD9E2F0"/>
      </left>
      <right style="thin">
        <color rgb="FFD9E2F0"/>
      </right>
      <top style="thin">
        <color rgb="FFD9E2F0"/>
      </top>
      <bottom style="thin">
        <color rgb="FFBAC8DC"/>
      </bottom>
      <diagonal/>
    </border>
    <border>
      <left style="thin">
        <color rgb="FFCBD6E7"/>
      </left>
      <right style="thin">
        <color rgb="FFCBD6E7"/>
      </right>
      <top style="thin">
        <color rgb="FFCBD6E7"/>
      </top>
      <bottom style="thin">
        <color rgb="FFCBD6E7"/>
      </bottom>
      <diagonal/>
    </border>
    <border>
      <left/>
      <right/>
      <top/>
      <bottom style="thin">
        <color rgb="FFD9E2F0"/>
      </bottom>
      <diagonal/>
    </border>
    <border>
      <left style="thin">
        <color rgb="FFD9E2F0"/>
      </left>
      <right/>
      <top/>
      <bottom/>
      <diagonal/>
    </border>
    <border>
      <left/>
      <right style="thin">
        <color rgb="FFD9E2F0"/>
      </right>
      <top/>
      <bottom/>
      <diagonal/>
    </border>
    <border>
      <left style="thin">
        <color rgb="FFD6C45C"/>
      </left>
      <right/>
      <top style="thin">
        <color rgb="FFD6C45C"/>
      </top>
      <bottom style="thin">
        <color rgb="FFD6C45C"/>
      </bottom>
      <diagonal/>
    </border>
    <border>
      <left/>
      <right style="thin">
        <color rgb="FFD6C45C"/>
      </right>
      <top style="thin">
        <color rgb="FFD6C45C"/>
      </top>
      <bottom style="thin">
        <color rgb="FFD6C45C"/>
      </bottom>
      <diagonal/>
    </border>
    <border>
      <left style="thin">
        <color rgb="FFD6C45C"/>
      </left>
      <right style="thin">
        <color rgb="FFD6C45C"/>
      </right>
      <top style="thin">
        <color rgb="FFD6C45C"/>
      </top>
      <bottom/>
      <diagonal/>
    </border>
    <border>
      <left style="thin">
        <color rgb="FFD6C45C"/>
      </left>
      <right style="thin">
        <color rgb="FFD6C45C"/>
      </right>
      <top/>
      <bottom style="thin">
        <color rgb="FFD6C45C"/>
      </bottom>
      <diagonal/>
    </border>
    <border>
      <left/>
      <right/>
      <top style="thin">
        <color rgb="FFBAC8DC"/>
      </top>
      <bottom/>
      <diagonal/>
    </border>
    <border>
      <left/>
      <right/>
      <top style="thin">
        <color rgb="FFBAC8DC"/>
      </top>
      <bottom style="thin">
        <color rgb="FFBAC8DC"/>
      </bottom>
      <diagonal/>
    </border>
    <border>
      <left style="thin">
        <color rgb="FFBAC8DC"/>
      </left>
      <right/>
      <top style="thin">
        <color rgb="FFBAC8DC"/>
      </top>
      <bottom style="thin">
        <color rgb="FFBAC8DC"/>
      </bottom>
      <diagonal/>
    </border>
    <border>
      <left style="thin">
        <color rgb="FFBAC8DC"/>
      </left>
      <right style="thin">
        <color rgb="FFBAC8DC"/>
      </right>
      <top style="thin">
        <color rgb="FFBAC8DC"/>
      </top>
      <bottom style="thin">
        <color rgb="FFBAC8DC"/>
      </bottom>
      <diagonal/>
    </border>
    <border>
      <left/>
      <right style="thin">
        <color rgb="FFBAC8DC"/>
      </right>
      <top style="thin">
        <color rgb="FFBAC8DC"/>
      </top>
      <bottom style="thin">
        <color rgb="FFBAC8DC"/>
      </bottom>
      <diagonal/>
    </border>
    <border>
      <left style="thin">
        <color rgb="FFBAC8DC"/>
      </left>
      <right style="thin">
        <color rgb="FFBAC8DC"/>
      </right>
      <top style="thin">
        <color rgb="FFBAC8DC"/>
      </top>
      <bottom/>
      <diagonal/>
    </border>
    <border>
      <left style="thin">
        <color rgb="FF0B0D6F"/>
      </left>
      <right style="thin">
        <color rgb="FF0B0D6F"/>
      </right>
      <top style="thin">
        <color rgb="FF0B0D6F"/>
      </top>
      <bottom style="thin">
        <color rgb="FF0B0D6F"/>
      </bottom>
      <diagonal/>
    </border>
    <border>
      <left/>
      <right/>
      <top style="medium">
        <color rgb="FF0B0D6F"/>
      </top>
      <bottom/>
      <diagonal/>
    </border>
    <border>
      <left/>
      <right/>
      <top/>
      <bottom style="medium">
        <color rgb="FF0B0D6F"/>
      </bottom>
      <diagonal/>
    </border>
    <border>
      <left style="medium">
        <color rgb="FF0B0D6F"/>
      </left>
      <right/>
      <top style="medium">
        <color rgb="FF0B0D6F"/>
      </top>
      <bottom/>
      <diagonal/>
    </border>
    <border>
      <left style="medium">
        <color rgb="FF0B0D6F"/>
      </left>
      <right/>
      <top/>
      <bottom/>
      <diagonal/>
    </border>
    <border>
      <left style="medium">
        <color rgb="FF0B0D6F"/>
      </left>
      <right/>
      <top/>
      <bottom style="medium">
        <color rgb="FF0B0D6F"/>
      </bottom>
      <diagonal/>
    </border>
    <border>
      <left/>
      <right style="medium">
        <color rgb="FF0B0D6F"/>
      </right>
      <top style="medium">
        <color rgb="FF0B0D6F"/>
      </top>
      <bottom/>
      <diagonal/>
    </border>
    <border>
      <left/>
      <right style="medium">
        <color rgb="FF0B0D6F"/>
      </right>
      <top/>
      <bottom/>
      <diagonal/>
    </border>
    <border>
      <left/>
      <right style="medium">
        <color rgb="FF0B0D6F"/>
      </right>
      <top/>
      <bottom style="medium">
        <color rgb="FF0B0D6F"/>
      </bottom>
      <diagonal/>
    </border>
    <border>
      <left style="thin">
        <color rgb="FFDCE5F5"/>
      </left>
      <right/>
      <top style="thin">
        <color rgb="FFDCE5F5"/>
      </top>
      <bottom/>
      <diagonal/>
    </border>
    <border>
      <left style="thin">
        <color rgb="FFDCE5F5"/>
      </left>
      <right/>
      <top/>
      <bottom style="thin">
        <color rgb="FFDCE5F5"/>
      </bottom>
      <diagonal/>
    </border>
    <border>
      <left/>
      <right/>
      <top style="thin">
        <color rgb="FFDCE5F5"/>
      </top>
      <bottom/>
      <diagonal/>
    </border>
    <border>
      <left/>
      <right/>
      <top/>
      <bottom style="thin">
        <color rgb="FFDCE5F5"/>
      </bottom>
      <diagonal/>
    </border>
    <border>
      <left style="thick">
        <color rgb="FF1B218F"/>
      </left>
      <right/>
      <top/>
      <bottom/>
      <diagonal/>
    </border>
    <border>
      <left style="thick">
        <color rgb="FF1B218F"/>
      </left>
      <right/>
      <top style="thin">
        <color rgb="FFDCE5F5"/>
      </top>
      <bottom/>
      <diagonal/>
    </border>
    <border>
      <left style="thick">
        <color rgb="FF1B218F"/>
      </left>
      <right/>
      <top/>
      <bottom style="thin">
        <color rgb="FFDCE5F5"/>
      </bottom>
      <diagonal/>
    </border>
    <border>
      <left/>
      <right style="thin">
        <color rgb="FFDCE5F5"/>
      </right>
      <top style="thin">
        <color rgb="FFDCE5F5"/>
      </top>
      <bottom style="thin">
        <color rgb="FFDCE5F5"/>
      </bottom>
      <diagonal/>
    </border>
    <border>
      <left/>
      <right/>
      <top style="thin">
        <color rgb="FFDCE5F5"/>
      </top>
      <bottom style="thin">
        <color rgb="FFDCE5F5"/>
      </bottom>
      <diagonal/>
    </border>
    <border>
      <left/>
      <right/>
      <top style="thin">
        <color rgb="FFBBD3F2"/>
      </top>
      <bottom/>
      <diagonal/>
    </border>
    <border>
      <left/>
      <right/>
      <top/>
      <bottom style="thin">
        <color rgb="FFBBD3F2"/>
      </bottom>
      <diagonal/>
    </border>
    <border>
      <left style="thin">
        <color rgb="FFBBD3F2"/>
      </left>
      <right/>
      <top style="thin">
        <color rgb="FFBBD3F2"/>
      </top>
      <bottom/>
      <diagonal/>
    </border>
    <border>
      <left/>
      <right style="thin">
        <color rgb="FFDCE5F5"/>
      </right>
      <top style="thin">
        <color rgb="FFEDF1F9"/>
      </top>
      <bottom style="thin">
        <color rgb="FFDCE5F5"/>
      </bottom>
      <diagonal/>
    </border>
    <border>
      <left/>
      <right/>
      <top style="thin">
        <color rgb="FFEDF1F9"/>
      </top>
      <bottom style="thin">
        <color rgb="FFDCE5F5"/>
      </bottom>
      <diagonal/>
    </border>
    <border>
      <left/>
      <right style="thin">
        <color rgb="FFDCE5F5"/>
      </right>
      <top/>
      <bottom/>
      <diagonal/>
    </border>
    <border>
      <left style="thick">
        <color rgb="FF1B218F"/>
      </left>
      <right/>
      <top style="thin">
        <color rgb="FFDCE5F5"/>
      </top>
      <bottom style="thin">
        <color rgb="FFDCE5F5"/>
      </bottom>
      <diagonal/>
    </border>
    <border>
      <left style="thick">
        <color rgb="FF1B218F"/>
      </left>
      <right/>
      <top style="thin">
        <color rgb="FFEDF1F9"/>
      </top>
      <bottom style="thin">
        <color rgb="FFDCE5F5"/>
      </bottom>
      <diagonal/>
    </border>
    <border>
      <left/>
      <right style="thin">
        <color rgb="FFBBD3F2"/>
      </right>
      <top style="thin">
        <color rgb="FFBBD3F2"/>
      </top>
      <bottom/>
      <diagonal/>
    </border>
    <border>
      <left/>
      <right style="thin">
        <color rgb="FFBBD3F2"/>
      </right>
      <top/>
      <bottom style="thin">
        <color rgb="FFBBD3F2"/>
      </bottom>
      <diagonal/>
    </border>
    <border>
      <left style="thick">
        <color rgb="FF1B218F"/>
      </left>
      <right/>
      <top style="thin">
        <color rgb="FFBBD3F2"/>
      </top>
      <bottom/>
      <diagonal/>
    </border>
    <border>
      <left style="thick">
        <color rgb="FF1B218F"/>
      </left>
      <right/>
      <top/>
      <bottom style="thin">
        <color rgb="FFBBD3F2"/>
      </bottom>
      <diagonal/>
    </border>
    <border>
      <left style="thin">
        <color rgb="FFBAC8DC"/>
      </left>
      <right/>
      <top style="thin">
        <color rgb="FFBAC8DC"/>
      </top>
      <bottom/>
      <diagonal/>
    </border>
    <border>
      <left/>
      <right style="thin">
        <color rgb="FFBAC8DC"/>
      </right>
      <top style="thin">
        <color rgb="FFBAC8DC"/>
      </top>
      <bottom/>
      <diagonal/>
    </border>
    <border>
      <left/>
      <right style="thin">
        <color rgb="FFDCE5F5"/>
      </right>
      <top style="thin">
        <color rgb="FFDCE5F5"/>
      </top>
      <bottom/>
      <diagonal/>
    </border>
    <border>
      <left/>
      <right style="thin">
        <color rgb="FFDCE5F5"/>
      </right>
      <top/>
      <bottom style="thin">
        <color rgb="FFDCE5F5"/>
      </bottom>
      <diagonal/>
    </border>
    <border>
      <left style="thin">
        <color rgb="FF0B0D6F"/>
      </left>
      <right style="thin">
        <color rgb="FF0B0D6F"/>
      </right>
      <top style="thin">
        <color rgb="FF0B0D6F"/>
      </top>
      <bottom/>
      <diagonal/>
    </border>
    <border>
      <left/>
      <right/>
      <top style="thin">
        <color rgb="FF7FC4A5"/>
      </top>
      <bottom style="thin">
        <color rgb="FF7FC4A5"/>
      </bottom>
      <diagonal/>
    </border>
    <border>
      <left style="thin">
        <color rgb="FF7FC4A5"/>
      </left>
      <right/>
      <top style="thin">
        <color rgb="FF7FC4A5"/>
      </top>
      <bottom style="thin">
        <color rgb="FF7FC4A5"/>
      </bottom>
      <diagonal/>
    </border>
    <border>
      <left/>
      <right style="thin">
        <color rgb="FF7FC4A5"/>
      </right>
      <top style="thin">
        <color rgb="FF7FC4A5"/>
      </top>
      <bottom style="thin">
        <color rgb="FF7FC4A5"/>
      </bottom>
      <diagonal/>
    </border>
    <border>
      <left/>
      <right/>
      <top style="thin">
        <color rgb="FFE4EAF5"/>
      </top>
      <bottom/>
      <diagonal/>
    </border>
    <border>
      <left/>
      <right/>
      <top style="thin">
        <color rgb="FFE4EAF5"/>
      </top>
      <bottom style="thin">
        <color rgb="FFE4EAF5"/>
      </bottom>
      <diagonal/>
    </border>
    <border>
      <left style="thin">
        <color rgb="FFE4EAF5"/>
      </left>
      <right/>
      <top style="thin">
        <color rgb="FFE4EAF5"/>
      </top>
      <bottom style="thin">
        <color rgb="FFE4EAF5"/>
      </bottom>
      <diagonal/>
    </border>
    <border>
      <left style="thin">
        <color rgb="FFE4EAF5"/>
      </left>
      <right style="thin">
        <color rgb="FFE4EAF5"/>
      </right>
      <top style="thin">
        <color rgb="FFE4EAF5"/>
      </top>
      <bottom style="thin">
        <color rgb="FFE4EAF5"/>
      </bottom>
      <diagonal/>
    </border>
    <border>
      <left/>
      <right style="thin">
        <color rgb="FFE4EAF5"/>
      </right>
      <top style="thin">
        <color rgb="FFE4EAF5"/>
      </top>
      <bottom style="thin">
        <color rgb="FFE4EAF5"/>
      </bottom>
      <diagonal/>
    </border>
    <border>
      <left style="thick">
        <color rgb="FF1B218F"/>
      </left>
      <right/>
      <top style="thin">
        <color rgb="FFE4EAF5"/>
      </top>
      <bottom style="thin">
        <color rgb="FFE4EAF5"/>
      </bottom>
      <diagonal/>
    </border>
    <border>
      <left style="thin">
        <color rgb="FFE4EAF5"/>
      </left>
      <right/>
      <top style="thin">
        <color rgb="FFE4EAF5"/>
      </top>
      <bottom/>
      <diagonal/>
    </border>
    <border>
      <left style="thick">
        <color rgb="FF1B218F"/>
      </left>
      <right/>
      <top style="thin">
        <color rgb="FFE4EAF5"/>
      </top>
      <bottom/>
      <diagonal/>
    </border>
    <border>
      <left/>
      <right style="thin">
        <color rgb="FFE4EAF5"/>
      </right>
      <top style="thin">
        <color rgb="FFE4EAF5"/>
      </top>
      <bottom/>
      <diagonal/>
    </border>
    <border>
      <left/>
      <right/>
      <top style="thin">
        <color rgb="FFE8C36A"/>
      </top>
      <bottom style="thin">
        <color rgb="FFE8C36A"/>
      </bottom>
      <diagonal/>
    </border>
    <border>
      <left style="thin">
        <color rgb="FFE8C36A"/>
      </left>
      <right/>
      <top style="thin">
        <color rgb="FFE8C36A"/>
      </top>
      <bottom style="thin">
        <color rgb="FFE8C36A"/>
      </bottom>
      <diagonal/>
    </border>
    <border>
      <left/>
      <right style="thin">
        <color rgb="FFE8C36A"/>
      </right>
      <top style="thin">
        <color rgb="FFE8C36A"/>
      </top>
      <bottom style="thin">
        <color rgb="FFE8C36A"/>
      </bottom>
      <diagonal/>
    </border>
    <border>
      <left/>
      <right/>
      <top style="thin">
        <color rgb="FFBBD3F2"/>
      </top>
      <bottom style="thin">
        <color rgb="FFBBD3F2"/>
      </bottom>
      <diagonal/>
    </border>
    <border>
      <left style="thin">
        <color rgb="FFBBD3F2"/>
      </left>
      <right/>
      <top style="thin">
        <color rgb="FFBBD3F2"/>
      </top>
      <bottom style="thin">
        <color rgb="FFBBD3F2"/>
      </bottom>
      <diagonal/>
    </border>
    <border>
      <left/>
      <right style="thin">
        <color rgb="FFBBD3F2"/>
      </right>
      <top style="thin">
        <color rgb="FFBBD3F2"/>
      </top>
      <bottom style="thin">
        <color rgb="FFBBD3F2"/>
      </bottom>
      <diagonal/>
    </border>
    <border>
      <left style="thin">
        <color rgb="FFE8C36A"/>
      </left>
      <right/>
      <top style="thin">
        <color rgb="FFE8C36A"/>
      </top>
      <bottom/>
      <diagonal/>
    </border>
    <border>
      <left/>
      <right/>
      <top style="thin">
        <color rgb="FFE8C36A"/>
      </top>
      <bottom/>
      <diagonal/>
    </border>
    <border>
      <left/>
      <right style="thin">
        <color rgb="FFE8C36A"/>
      </right>
      <top style="thin">
        <color rgb="FFE8C36A"/>
      </top>
      <bottom/>
      <diagonal/>
    </border>
    <border>
      <left style="thin">
        <color rgb="FFDCE5F5"/>
      </left>
      <right style="thin">
        <color rgb="FFDCE5F5"/>
      </right>
      <top style="thin">
        <color rgb="FFDCE5F5"/>
      </top>
      <bottom/>
      <diagonal/>
    </border>
    <border>
      <left style="thin">
        <color rgb="FFDCE5F5"/>
      </left>
      <right style="thin">
        <color rgb="FFDCE5F5"/>
      </right>
      <top/>
      <bottom style="thin">
        <color rgb="FFDCE5F5"/>
      </bottom>
      <diagonal/>
    </border>
    <border>
      <left/>
      <right/>
      <top/>
      <bottom style="thin">
        <color rgb="FFE8C36A"/>
      </bottom>
      <diagonal/>
    </border>
    <border>
      <left/>
      <right style="thin">
        <color rgb="FFD9E2F0"/>
      </right>
      <top/>
      <bottom style="thin">
        <color rgb="FFE8C36A"/>
      </bottom>
      <diagonal/>
    </border>
    <border>
      <left/>
      <right style="thin">
        <color rgb="FFD9E2F0"/>
      </right>
      <top/>
      <bottom style="thin">
        <color rgb="FFBBD3F2"/>
      </bottom>
      <diagonal/>
    </border>
    <border>
      <left style="thin">
        <color rgb="FFD9E2F0"/>
      </left>
      <right/>
      <top style="thin">
        <color rgb="FF7FC4A5"/>
      </top>
      <bottom style="thin">
        <color rgb="FF7FC4A5"/>
      </bottom>
      <diagonal/>
    </border>
    <border>
      <left style="thin">
        <color rgb="FFD9E2F0"/>
      </left>
      <right style="thin">
        <color rgb="FFD9E2F0"/>
      </right>
      <top style="thin">
        <color rgb="FF7FC4A5"/>
      </top>
      <bottom style="thin">
        <color rgb="FF7FC4A5"/>
      </bottom>
      <diagonal/>
    </border>
    <border>
      <left style="thin">
        <color rgb="FF7FC4A5"/>
      </left>
      <right style="thin">
        <color rgb="FFD9E2F0"/>
      </right>
      <top style="thin">
        <color rgb="FF7FC4A5"/>
      </top>
      <bottom style="thin">
        <color rgb="FF7FC4A5"/>
      </bottom>
      <diagonal/>
    </border>
    <border>
      <left/>
      <right/>
      <top style="thin">
        <color rgb="FFD8CCF0"/>
      </top>
      <bottom/>
      <diagonal/>
    </border>
    <border>
      <left/>
      <right/>
      <top style="thin">
        <color rgb="FFD8CCF0"/>
      </top>
      <bottom style="thin">
        <color rgb="FFD8CCF0"/>
      </bottom>
      <diagonal/>
    </border>
    <border>
      <left/>
      <right style="thin">
        <color rgb="FFD8CCF0"/>
      </right>
      <top style="thin">
        <color rgb="FFD8CCF0"/>
      </top>
      <bottom style="thin">
        <color rgb="FFD8CCF0"/>
      </bottom>
      <diagonal/>
    </border>
    <border>
      <left style="thick">
        <color rgb="FF6B4BB8"/>
      </left>
      <right/>
      <top style="thin">
        <color rgb="FFD8CCF0"/>
      </top>
      <bottom style="thin">
        <color rgb="FFD8CCF0"/>
      </bottom>
      <diagonal/>
    </border>
    <border>
      <left style="thick">
        <color rgb="FF6B4BB8"/>
      </left>
      <right/>
      <top style="thin">
        <color rgb="FFD8CCF0"/>
      </top>
      <bottom/>
      <diagonal/>
    </border>
    <border>
      <left/>
      <right style="thin">
        <color rgb="FFD8CCF0"/>
      </right>
      <top style="thin">
        <color rgb="FFD8CCF0"/>
      </top>
      <bottom/>
      <diagonal/>
    </border>
    <border>
      <left style="thin">
        <color rgb="FFBAC8DC"/>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theme="1"/>
      </bottom>
      <diagonal/>
    </border>
    <border>
      <left style="medium">
        <color theme="1"/>
      </left>
      <right/>
      <top style="medium">
        <color indexed="64"/>
      </top>
      <bottom style="thin">
        <color theme="1"/>
      </bottom>
      <diagonal/>
    </border>
    <border>
      <left style="medium">
        <color theme="1"/>
      </left>
      <right style="medium">
        <color theme="1"/>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theme="1"/>
      </left>
      <right/>
      <top style="thin">
        <color theme="1"/>
      </top>
      <bottom style="medium">
        <color indexed="64"/>
      </bottom>
      <diagonal/>
    </border>
    <border>
      <left style="medium">
        <color theme="1"/>
      </left>
      <right style="medium">
        <color theme="1"/>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rgb="FFD9E2F0"/>
      </left>
      <right style="thin">
        <color rgb="FFD9E2F0"/>
      </right>
      <top/>
      <bottom style="thin">
        <color rgb="FFD9E2F0"/>
      </bottom>
      <diagonal/>
    </border>
    <border>
      <left style="thin">
        <color rgb="FFD9E2F0"/>
      </left>
      <right/>
      <top style="thin">
        <color rgb="FFD9E2F0"/>
      </top>
      <bottom style="thin">
        <color rgb="FFD9E2F0"/>
      </bottom>
      <diagonal/>
    </border>
    <border>
      <left/>
      <right/>
      <top style="thin">
        <color rgb="FFD9E2F0"/>
      </top>
      <bottom style="thin">
        <color rgb="FFD9E2F0"/>
      </bottom>
      <diagonal/>
    </border>
    <border>
      <left/>
      <right style="thin">
        <color rgb="FFD9E2F0"/>
      </right>
      <top style="thin">
        <color rgb="FFD9E2F0"/>
      </top>
      <bottom style="thin">
        <color rgb="FFD9E2F0"/>
      </bottom>
      <diagonal/>
    </border>
    <border>
      <left style="medium">
        <color indexed="64"/>
      </left>
      <right style="thin">
        <color rgb="FFD6C45C"/>
      </right>
      <top style="thin">
        <color rgb="FFD6C45C"/>
      </top>
      <bottom style="thin">
        <color rgb="FFD6C45C"/>
      </bottom>
      <diagonal/>
    </border>
    <border>
      <left style="thin">
        <color rgb="FFD6C45C"/>
      </left>
      <right style="medium">
        <color indexed="64"/>
      </right>
      <top style="thin">
        <color rgb="FFD6C45C"/>
      </top>
      <bottom style="thin">
        <color rgb="FFD6C45C"/>
      </bottom>
      <diagonal/>
    </border>
    <border>
      <left style="medium">
        <color indexed="64"/>
      </left>
      <right style="thin">
        <color rgb="FFD6C45C"/>
      </right>
      <top style="thin">
        <color rgb="FFD6C45C"/>
      </top>
      <bottom/>
      <diagonal/>
    </border>
    <border>
      <left style="thin">
        <color rgb="FFD6C45C"/>
      </left>
      <right style="medium">
        <color indexed="64"/>
      </right>
      <top style="thin">
        <color rgb="FFD6C45C"/>
      </top>
      <bottom/>
      <diagonal/>
    </border>
    <border>
      <left style="medium">
        <color indexed="64"/>
      </left>
      <right style="thin">
        <color rgb="FFD6C45C"/>
      </right>
      <top style="thin">
        <color rgb="FFD6C45C"/>
      </top>
      <bottom style="medium">
        <color indexed="64"/>
      </bottom>
      <diagonal/>
    </border>
    <border>
      <left style="thin">
        <color rgb="FFD6C45C"/>
      </left>
      <right style="thin">
        <color rgb="FFD6C45C"/>
      </right>
      <top style="thin">
        <color rgb="FFD6C45C"/>
      </top>
      <bottom style="medium">
        <color indexed="64"/>
      </bottom>
      <diagonal/>
    </border>
    <border>
      <left style="thin">
        <color rgb="FFD6C45C"/>
      </left>
      <right style="medium">
        <color indexed="64"/>
      </right>
      <top style="thin">
        <color rgb="FFD6C45C"/>
      </top>
      <bottom style="medium">
        <color indexed="64"/>
      </bottom>
      <diagonal/>
    </border>
    <border>
      <left style="medium">
        <color indexed="64"/>
      </left>
      <right style="thin">
        <color rgb="FFD6C45C"/>
      </right>
      <top/>
      <bottom style="thin">
        <color rgb="FFD6C45C"/>
      </bottom>
      <diagonal/>
    </border>
    <border>
      <left style="thin">
        <color rgb="FFD6C45C"/>
      </left>
      <right style="medium">
        <color indexed="64"/>
      </right>
      <top/>
      <bottom style="thin">
        <color rgb="FFD6C45C"/>
      </bottom>
      <diagonal/>
    </border>
    <border>
      <left style="medium">
        <color indexed="64"/>
      </left>
      <right style="thin">
        <color rgb="FFBAC8DC"/>
      </right>
      <top style="medium">
        <color indexed="64"/>
      </top>
      <bottom style="medium">
        <color indexed="64"/>
      </bottom>
      <diagonal/>
    </border>
    <border>
      <left style="thin">
        <color rgb="FFBAC8DC"/>
      </left>
      <right style="thin">
        <color rgb="FFBAC8DC"/>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n">
        <color rgb="FFD6C45C"/>
      </bottom>
      <diagonal/>
    </border>
    <border>
      <left style="medium">
        <color indexed="64"/>
      </left>
      <right style="thin">
        <color rgb="FF0B0D6F"/>
      </right>
      <top style="medium">
        <color indexed="64"/>
      </top>
      <bottom/>
      <diagonal/>
    </border>
    <border>
      <left style="thin">
        <color rgb="FF0B0D6F"/>
      </left>
      <right style="thin">
        <color rgb="FF0B0D6F"/>
      </right>
      <top style="medium">
        <color indexed="64"/>
      </top>
      <bottom/>
      <diagonal/>
    </border>
    <border>
      <left style="thin">
        <color rgb="FF0B0D6F"/>
      </left>
      <right/>
      <top style="medium">
        <color indexed="64"/>
      </top>
      <bottom/>
      <diagonal/>
    </border>
    <border>
      <left style="medium">
        <color rgb="FF0B0D6F"/>
      </left>
      <right style="thin">
        <color rgb="FF0B0D6F"/>
      </right>
      <top style="medium">
        <color indexed="64"/>
      </top>
      <bottom/>
      <diagonal/>
    </border>
    <border>
      <left style="thin">
        <color rgb="FF0B0D6F"/>
      </left>
      <right style="medium">
        <color indexed="64"/>
      </right>
      <top style="medium">
        <color indexed="64"/>
      </top>
      <bottom/>
      <diagonal/>
    </border>
    <border>
      <left style="thin">
        <color rgb="FFBAC8DC"/>
      </left>
      <right/>
      <top/>
      <bottom style="thin">
        <color rgb="FFD6C45C"/>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rgb="FFBAC8DC"/>
      </right>
      <top style="medium">
        <color indexed="64"/>
      </top>
      <bottom/>
      <diagonal/>
    </border>
    <border>
      <left style="thin">
        <color rgb="FFBAC8DC"/>
      </left>
      <right style="thin">
        <color rgb="FFBAC8DC"/>
      </right>
      <top style="medium">
        <color indexed="64"/>
      </top>
      <bottom/>
      <diagonal/>
    </border>
    <border>
      <left style="thin">
        <color rgb="FFBAC8DC"/>
      </left>
      <right/>
      <top style="medium">
        <color indexed="64"/>
      </top>
      <bottom/>
      <diagonal/>
    </border>
    <border>
      <left style="medium">
        <color rgb="FF0B0D6F"/>
      </left>
      <right style="thin">
        <color rgb="FFBAC8DC"/>
      </right>
      <top style="medium">
        <color indexed="64"/>
      </top>
      <bottom/>
      <diagonal/>
    </border>
    <border>
      <left style="thin">
        <color rgb="FFBAC8DC"/>
      </left>
      <right style="medium">
        <color indexed="64"/>
      </right>
      <top style="medium">
        <color indexed="64"/>
      </top>
      <bottom/>
      <diagonal/>
    </border>
    <border>
      <left style="medium">
        <color indexed="64"/>
      </left>
      <right style="thin">
        <color rgb="FF7FC4A5"/>
      </right>
      <top style="thin">
        <color rgb="FF7FC4A5"/>
      </top>
      <bottom style="medium">
        <color indexed="64"/>
      </bottom>
      <diagonal/>
    </border>
    <border>
      <left style="thin">
        <color rgb="FF7FC4A5"/>
      </left>
      <right style="thin">
        <color rgb="FF7FC4A5"/>
      </right>
      <top style="thin">
        <color rgb="FF7FC4A5"/>
      </top>
      <bottom style="medium">
        <color indexed="64"/>
      </bottom>
      <diagonal/>
    </border>
    <border>
      <left style="thin">
        <color rgb="FF7FC4A5"/>
      </left>
      <right/>
      <top style="thin">
        <color rgb="FF7FC4A5"/>
      </top>
      <bottom style="medium">
        <color indexed="64"/>
      </bottom>
      <diagonal/>
    </border>
    <border>
      <left style="medium">
        <color rgb="FF0B0D6F"/>
      </left>
      <right style="thin">
        <color rgb="FF7FC4A5"/>
      </right>
      <top style="thin">
        <color rgb="FF7FC4A5"/>
      </top>
      <bottom style="medium">
        <color indexed="64"/>
      </bottom>
      <diagonal/>
    </border>
    <border>
      <left/>
      <right/>
      <top style="thin">
        <color rgb="FF7FC4A5"/>
      </top>
      <bottom style="medium">
        <color indexed="64"/>
      </bottom>
      <diagonal/>
    </border>
    <border>
      <left style="thin">
        <color rgb="FF7FC4A5"/>
      </left>
      <right style="medium">
        <color indexed="64"/>
      </right>
      <top style="thin">
        <color rgb="FF7FC4A5"/>
      </top>
      <bottom style="medium">
        <color indexed="64"/>
      </bottom>
      <diagonal/>
    </border>
    <border>
      <left style="medium">
        <color indexed="64"/>
      </left>
      <right style="medium">
        <color indexed="64"/>
      </right>
      <top style="medium">
        <color indexed="64"/>
      </top>
      <bottom style="thin">
        <color rgb="FFE8C36A"/>
      </bottom>
      <diagonal/>
    </border>
    <border>
      <left style="hair">
        <color theme="1"/>
      </left>
      <right style="hair">
        <color theme="1"/>
      </right>
      <top style="hair">
        <color theme="1"/>
      </top>
      <bottom style="hair">
        <color theme="1"/>
      </bottom>
      <diagonal/>
    </border>
    <border>
      <left style="thin">
        <color rgb="FF0B0D6F"/>
      </left>
      <right/>
      <top/>
      <bottom/>
      <diagonal/>
    </border>
    <border>
      <left/>
      <right style="thin">
        <color rgb="FF0B0D6F"/>
      </right>
      <top/>
      <bottom/>
      <diagonal/>
    </border>
    <border>
      <left style="medium">
        <color indexed="64"/>
      </left>
      <right style="medium">
        <color indexed="64"/>
      </right>
      <top style="medium">
        <color indexed="64"/>
      </top>
      <bottom style="medium">
        <color indexed="64"/>
      </bottom>
      <diagonal/>
    </border>
    <border>
      <left/>
      <right/>
      <top/>
      <bottom style="thin">
        <color rgb="FFD8CCF0"/>
      </bottom>
      <diagonal/>
    </border>
    <border>
      <left/>
      <right/>
      <top style="thin">
        <color rgb="FFD6C45C"/>
      </top>
      <bottom style="thin">
        <color rgb="FFD6C45C"/>
      </bottom>
      <diagonal/>
    </border>
    <border>
      <left style="thin">
        <color rgb="FFBAC8DC"/>
      </left>
      <right/>
      <top style="thin">
        <color rgb="FFBAC8DC"/>
      </top>
      <bottom style="thin">
        <color rgb="FFD6C45C"/>
      </bottom>
      <diagonal/>
    </border>
    <border>
      <left/>
      <right style="thin">
        <color rgb="FFBAC8DC"/>
      </right>
      <top style="thin">
        <color rgb="FFBAC8DC"/>
      </top>
      <bottom style="thin">
        <color rgb="FFD6C45C"/>
      </bottom>
      <diagonal/>
    </border>
    <border>
      <left/>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0" fontId="11" fillId="0" borderId="0" applyNumberFormat="0" applyFill="0" applyBorder="0" applyAlignment="0" applyProtection="0"/>
  </cellStyleXfs>
  <cellXfs count="551">
    <xf numFmtId="0" fontId="0" fillId="0" borderId="0" xfId="0"/>
    <xf numFmtId="0" fontId="6" fillId="3" borderId="0" xfId="0" applyFont="1" applyFill="1" applyAlignment="1">
      <alignment horizontal="center" vertical="center" wrapText="1"/>
    </xf>
    <xf numFmtId="0" fontId="3" fillId="5" borderId="0" xfId="0" applyFont="1" applyFill="1" applyAlignment="1">
      <alignment horizontal="right" vertical="center" wrapText="1"/>
    </xf>
    <xf numFmtId="0" fontId="4" fillId="6" borderId="0" xfId="0" applyFont="1" applyFill="1" applyAlignment="1">
      <alignment horizontal="center" vertical="center" wrapText="1"/>
    </xf>
    <xf numFmtId="0" fontId="5" fillId="7" borderId="0" xfId="0" applyFont="1" applyFill="1" applyAlignment="1">
      <alignment horizontal="center" vertical="center" wrapText="1"/>
    </xf>
    <xf numFmtId="0" fontId="2" fillId="0" borderId="0" xfId="0" applyFont="1" applyAlignment="1">
      <alignment vertical="center" wrapText="1"/>
    </xf>
    <xf numFmtId="9" fontId="7" fillId="4" borderId="0" xfId="0" applyNumberFormat="1" applyFont="1" applyFill="1" applyAlignment="1">
      <alignment horizontal="center" vertical="center" wrapText="1"/>
    </xf>
    <xf numFmtId="0" fontId="59" fillId="36" borderId="92" xfId="0" applyFont="1" applyFill="1" applyBorder="1" applyAlignment="1" applyProtection="1">
      <alignment horizontal="center" vertical="center" readingOrder="2"/>
      <protection hidden="1"/>
    </xf>
    <xf numFmtId="0" fontId="59" fillId="36" borderId="93" xfId="0" applyFont="1" applyFill="1" applyBorder="1" applyAlignment="1" applyProtection="1">
      <alignment horizontal="center" vertical="center" readingOrder="2"/>
      <protection hidden="1"/>
    </xf>
    <xf numFmtId="0" fontId="59" fillId="36" borderId="94" xfId="0" applyFont="1" applyFill="1" applyBorder="1" applyAlignment="1" applyProtection="1">
      <alignment horizontal="center" vertical="center" readingOrder="2"/>
      <protection hidden="1"/>
    </xf>
    <xf numFmtId="0" fontId="59" fillId="36" borderId="95" xfId="0" applyFont="1" applyFill="1" applyBorder="1" applyAlignment="1" applyProtection="1">
      <alignment horizontal="center" vertical="center" readingOrder="2"/>
      <protection hidden="1"/>
    </xf>
    <xf numFmtId="0" fontId="59" fillId="36" borderId="90" xfId="0" applyFont="1" applyFill="1" applyBorder="1" applyAlignment="1" applyProtection="1">
      <alignment horizontal="center" vertical="center" readingOrder="1"/>
      <protection hidden="1"/>
    </xf>
    <xf numFmtId="0" fontId="59" fillId="36" borderId="96" xfId="0" applyFont="1" applyFill="1" applyBorder="1" applyAlignment="1" applyProtection="1">
      <alignment horizontal="center" vertical="center" readingOrder="2"/>
      <protection hidden="1"/>
    </xf>
    <xf numFmtId="173" fontId="60" fillId="37" borderId="91" xfId="0" applyNumberFormat="1" applyFont="1" applyFill="1" applyBorder="1" applyAlignment="1" applyProtection="1">
      <alignment horizontal="center" vertical="center" readingOrder="1"/>
      <protection hidden="1"/>
    </xf>
    <xf numFmtId="174" fontId="60" fillId="37" borderId="97" xfId="0" applyNumberFormat="1" applyFont="1" applyFill="1" applyBorder="1" applyAlignment="1" applyProtection="1">
      <alignment horizontal="center" vertical="center" readingOrder="2"/>
      <protection hidden="1"/>
    </xf>
    <xf numFmtId="49" fontId="60" fillId="37" borderId="98" xfId="0" applyNumberFormat="1" applyFont="1" applyFill="1" applyBorder="1" applyAlignment="1" applyProtection="1">
      <alignment horizontal="center" vertical="center" readingOrder="2"/>
      <protection hidden="1"/>
    </xf>
    <xf numFmtId="49" fontId="60" fillId="37" borderId="99" xfId="0" applyNumberFormat="1" applyFont="1" applyFill="1" applyBorder="1" applyAlignment="1" applyProtection="1">
      <alignment horizontal="center" vertical="center" readingOrder="2"/>
      <protection hidden="1"/>
    </xf>
    <xf numFmtId="175" fontId="60" fillId="38" borderId="91" xfId="0" applyNumberFormat="1" applyFont="1" applyFill="1" applyBorder="1" applyAlignment="1" applyProtection="1">
      <alignment horizontal="center" vertical="center" readingOrder="1"/>
      <protection hidden="1"/>
    </xf>
    <xf numFmtId="0" fontId="61" fillId="0" borderId="0" xfId="0" applyFont="1" applyAlignment="1" applyProtection="1">
      <alignment vertical="center" readingOrder="2"/>
      <protection hidden="1"/>
    </xf>
    <xf numFmtId="0" fontId="61" fillId="0" borderId="0" xfId="0" applyFont="1" applyAlignment="1" applyProtection="1">
      <alignment vertical="center" readingOrder="1"/>
      <protection hidden="1"/>
    </xf>
    <xf numFmtId="0" fontId="62" fillId="0" borderId="0" xfId="0" applyFont="1" applyAlignment="1" applyProtection="1">
      <alignment vertical="center" readingOrder="2"/>
      <protection hidden="1"/>
    </xf>
    <xf numFmtId="0" fontId="62" fillId="0" borderId="0" xfId="0" applyFont="1" applyAlignment="1" applyProtection="1">
      <alignment vertical="center" readingOrder="1"/>
      <protection hidden="1"/>
    </xf>
    <xf numFmtId="0" fontId="63" fillId="38" borderId="102" xfId="0" applyFont="1" applyFill="1" applyBorder="1" applyAlignment="1" applyProtection="1">
      <alignment horizontal="center" vertical="center" readingOrder="1"/>
      <protection hidden="1"/>
    </xf>
    <xf numFmtId="175" fontId="60" fillId="38" borderId="103" xfId="0" applyNumberFormat="1" applyFont="1" applyFill="1" applyBorder="1" applyAlignment="1" applyProtection="1">
      <alignment horizontal="center" vertical="center" readingOrder="1"/>
      <protection hidden="1"/>
    </xf>
    <xf numFmtId="0" fontId="63" fillId="38" borderId="104" xfId="0" applyFont="1" applyFill="1" applyBorder="1" applyAlignment="1" applyProtection="1">
      <alignment horizontal="center" vertical="center" readingOrder="1"/>
      <protection hidden="1"/>
    </xf>
    <xf numFmtId="173" fontId="60" fillId="38" borderId="105" xfId="0" applyNumberFormat="1" applyFont="1" applyFill="1" applyBorder="1" applyAlignment="1" applyProtection="1">
      <alignment horizontal="center" vertical="center" readingOrder="1"/>
      <protection hidden="1"/>
    </xf>
    <xf numFmtId="49" fontId="60" fillId="37" borderId="100" xfId="0" applyNumberFormat="1" applyFont="1" applyFill="1" applyBorder="1" applyAlignment="1" applyProtection="1">
      <alignment horizontal="center" vertical="center" readingOrder="1"/>
      <protection hidden="1"/>
    </xf>
    <xf numFmtId="0" fontId="57" fillId="18" borderId="102" xfId="0" applyFont="1" applyFill="1" applyBorder="1" applyAlignment="1">
      <alignment horizontal="center" vertical="center"/>
    </xf>
    <xf numFmtId="0" fontId="57" fillId="18" borderId="104" xfId="0" applyFont="1" applyFill="1" applyBorder="1" applyAlignment="1">
      <alignment horizontal="center" vertical="center"/>
    </xf>
    <xf numFmtId="0" fontId="57" fillId="13" borderId="106" xfId="0" applyFont="1" applyFill="1" applyBorder="1" applyAlignment="1">
      <alignment horizontal="center" vertical="center"/>
    </xf>
    <xf numFmtId="174" fontId="57" fillId="13" borderId="107" xfId="0" applyNumberFormat="1" applyFont="1" applyFill="1" applyBorder="1" applyAlignment="1">
      <alignment horizontal="center" vertical="center"/>
    </xf>
    <xf numFmtId="0" fontId="59" fillId="19" borderId="101" xfId="0" applyFont="1" applyFill="1" applyBorder="1" applyAlignment="1" applyProtection="1">
      <alignment horizontal="center" vertical="center" readingOrder="2"/>
      <protection hidden="1"/>
    </xf>
    <xf numFmtId="0" fontId="62" fillId="19" borderId="101" xfId="0" applyFont="1" applyFill="1" applyBorder="1" applyAlignment="1" applyProtection="1">
      <alignment horizontal="center" vertical="center" readingOrder="2"/>
      <protection hidden="1"/>
    </xf>
    <xf numFmtId="0" fontId="70" fillId="39" borderId="90" xfId="0" applyFont="1" applyFill="1" applyBorder="1" applyAlignment="1">
      <alignment horizontal="center" vertical="center"/>
    </xf>
    <xf numFmtId="0" fontId="58" fillId="40" borderId="91" xfId="0" applyFont="1" applyFill="1" applyBorder="1" applyAlignment="1">
      <alignment vertical="center"/>
    </xf>
    <xf numFmtId="0" fontId="3" fillId="5" borderId="0" xfId="0" applyFont="1" applyFill="1" applyAlignment="1">
      <alignment horizontal="right" vertical="center"/>
    </xf>
    <xf numFmtId="0" fontId="2" fillId="8" borderId="108" xfId="0" applyFont="1" applyFill="1" applyBorder="1" applyAlignment="1">
      <alignment horizontal="right" vertical="center" wrapText="1"/>
    </xf>
    <xf numFmtId="0" fontId="2" fillId="8" borderId="108" xfId="0" applyFont="1" applyFill="1" applyBorder="1" applyAlignment="1">
      <alignment horizontal="right" vertical="center"/>
    </xf>
    <xf numFmtId="0" fontId="2" fillId="8" borderId="109" xfId="0" applyFont="1" applyFill="1" applyBorder="1" applyAlignment="1">
      <alignment vertical="center"/>
    </xf>
    <xf numFmtId="0" fontId="2" fillId="8" borderId="110" xfId="0" applyFont="1" applyFill="1" applyBorder="1" applyAlignment="1">
      <alignment vertical="center"/>
    </xf>
    <xf numFmtId="0" fontId="2" fillId="8" borderId="111" xfId="0" applyFont="1" applyFill="1" applyBorder="1" applyAlignment="1">
      <alignment vertical="center"/>
    </xf>
    <xf numFmtId="0" fontId="67" fillId="0" borderId="89" xfId="0" applyFont="1" applyBorder="1" applyAlignment="1">
      <alignment horizontal="right" vertical="center" wrapText="1"/>
    </xf>
    <xf numFmtId="0" fontId="0" fillId="0" borderId="0" xfId="0" applyProtection="1">
      <protection hidden="1"/>
    </xf>
    <xf numFmtId="0" fontId="2" fillId="0" borderId="0" xfId="0" applyFont="1" applyAlignment="1" applyProtection="1">
      <alignment vertical="center" wrapText="1"/>
      <protection hidden="1"/>
    </xf>
    <xf numFmtId="0" fontId="9" fillId="0" borderId="2" xfId="0" applyFont="1" applyBorder="1" applyAlignment="1" applyProtection="1">
      <alignment horizontal="right" vertical="center" wrapText="1"/>
      <protection hidden="1"/>
    </xf>
    <xf numFmtId="14" fontId="2" fillId="0" borderId="0" xfId="0" applyNumberFormat="1" applyFont="1" applyAlignment="1" applyProtection="1">
      <alignment vertical="center" wrapText="1"/>
      <protection hidden="1"/>
    </xf>
    <xf numFmtId="0" fontId="2" fillId="0" borderId="2" xfId="0" applyFont="1" applyBorder="1" applyAlignment="1" applyProtection="1">
      <alignment horizontal="right" vertical="center" wrapText="1"/>
      <protection hidden="1"/>
    </xf>
    <xf numFmtId="0" fontId="66" fillId="23" borderId="0" xfId="0" applyFont="1" applyFill="1" applyAlignment="1" applyProtection="1">
      <alignment vertical="center"/>
      <protection hidden="1"/>
    </xf>
    <xf numFmtId="0" fontId="15" fillId="15" borderId="0" xfId="0" applyFont="1" applyFill="1" applyAlignment="1" applyProtection="1">
      <alignment vertical="center"/>
      <protection hidden="1"/>
    </xf>
    <xf numFmtId="0" fontId="16" fillId="16" borderId="18" xfId="0" applyFont="1" applyFill="1" applyBorder="1" applyAlignment="1" applyProtection="1">
      <alignment horizontal="center" vertical="center" wrapText="1"/>
      <protection hidden="1"/>
    </xf>
    <xf numFmtId="0" fontId="17" fillId="17" borderId="3" xfId="0" applyFont="1" applyFill="1" applyBorder="1" applyAlignment="1" applyProtection="1">
      <alignment horizontal="center" vertical="center" wrapText="1"/>
      <protection hidden="1"/>
    </xf>
    <xf numFmtId="0" fontId="16" fillId="16" borderId="49" xfId="0" applyFont="1" applyFill="1" applyBorder="1" applyAlignment="1" applyProtection="1">
      <alignment horizontal="right" vertical="center"/>
      <protection hidden="1"/>
    </xf>
    <xf numFmtId="0" fontId="16" fillId="16" borderId="18" xfId="0" applyFont="1" applyFill="1" applyBorder="1" applyAlignment="1" applyProtection="1">
      <alignment horizontal="center" vertical="center"/>
      <protection hidden="1"/>
    </xf>
    <xf numFmtId="0" fontId="16" fillId="16" borderId="50" xfId="0" applyFont="1" applyFill="1" applyBorder="1" applyAlignment="1" applyProtection="1">
      <alignment horizontal="center" vertical="center" wrapText="1"/>
      <protection hidden="1"/>
    </xf>
    <xf numFmtId="0" fontId="16" fillId="17" borderId="2" xfId="0" applyFont="1" applyFill="1" applyBorder="1" applyAlignment="1" applyProtection="1">
      <alignment horizontal="center" vertical="center"/>
      <protection hidden="1"/>
    </xf>
    <xf numFmtId="0" fontId="0" fillId="0" borderId="2" xfId="0" applyBorder="1" applyProtection="1">
      <protection hidden="1"/>
    </xf>
    <xf numFmtId="0" fontId="25" fillId="17" borderId="2" xfId="0" applyFont="1" applyFill="1" applyBorder="1" applyAlignment="1" applyProtection="1">
      <alignment horizontal="right" vertical="center"/>
      <protection hidden="1"/>
    </xf>
    <xf numFmtId="0" fontId="0" fillId="23" borderId="0" xfId="0" applyFill="1" applyProtection="1">
      <protection hidden="1"/>
    </xf>
    <xf numFmtId="0" fontId="16" fillId="16" borderId="0" xfId="0" applyFont="1" applyFill="1" applyAlignment="1" applyProtection="1">
      <alignment horizontal="center" vertical="center" wrapText="1"/>
      <protection hidden="1"/>
    </xf>
    <xf numFmtId="0" fontId="17" fillId="21" borderId="9" xfId="0" applyFont="1" applyFill="1" applyBorder="1" applyAlignment="1" applyProtection="1">
      <alignment horizontal="right" vertical="center"/>
      <protection locked="0" hidden="1"/>
    </xf>
    <xf numFmtId="0" fontId="17" fillId="21" borderId="3" xfId="0" applyFont="1" applyFill="1" applyBorder="1" applyAlignment="1" applyProtection="1">
      <alignment horizontal="right" vertical="center"/>
      <protection locked="0" hidden="1"/>
    </xf>
    <xf numFmtId="49" fontId="17" fillId="21" borderId="10" xfId="0" applyNumberFormat="1" applyFont="1" applyFill="1" applyBorder="1" applyAlignment="1" applyProtection="1">
      <alignment horizontal="center" vertical="center" wrapText="1"/>
      <protection locked="0" hidden="1"/>
    </xf>
    <xf numFmtId="0" fontId="17" fillId="21" borderId="3" xfId="0" applyFont="1" applyFill="1" applyBorder="1" applyAlignment="1" applyProtection="1">
      <alignment horizontal="center" vertical="center" wrapText="1"/>
      <protection locked="0" hidden="1"/>
    </xf>
    <xf numFmtId="169" fontId="17" fillId="21" borderId="3" xfId="0" applyNumberFormat="1" applyFont="1" applyFill="1" applyBorder="1" applyAlignment="1" applyProtection="1">
      <alignment horizontal="center" vertical="center" wrapText="1"/>
      <protection locked="0" hidden="1"/>
    </xf>
    <xf numFmtId="0" fontId="17" fillId="21" borderId="10" xfId="0" applyFont="1" applyFill="1" applyBorder="1" applyAlignment="1" applyProtection="1">
      <alignment horizontal="center" vertical="center" wrapText="1"/>
      <protection locked="0" hidden="1"/>
    </xf>
    <xf numFmtId="0" fontId="17" fillId="21" borderId="3" xfId="0" applyFont="1" applyFill="1" applyBorder="1" applyAlignment="1" applyProtection="1">
      <alignment horizontal="right" vertical="center" wrapText="1"/>
      <protection locked="0" hidden="1"/>
    </xf>
    <xf numFmtId="0" fontId="18" fillId="21" borderId="3" xfId="0" applyFont="1" applyFill="1" applyBorder="1" applyAlignment="1" applyProtection="1">
      <alignment horizontal="center" vertical="center" wrapText="1"/>
      <protection locked="0" hidden="1"/>
    </xf>
    <xf numFmtId="0" fontId="17" fillId="0" borderId="2" xfId="0" applyFont="1" applyBorder="1" applyAlignment="1" applyProtection="1">
      <alignment horizontal="right" vertical="center"/>
      <protection hidden="1"/>
    </xf>
    <xf numFmtId="0" fontId="20" fillId="0" borderId="3" xfId="0" applyFont="1" applyBorder="1" applyAlignment="1" applyProtection="1">
      <alignment horizontal="center" vertical="center"/>
      <protection hidden="1"/>
    </xf>
    <xf numFmtId="0" fontId="17" fillId="0" borderId="3" xfId="0" applyFont="1" applyBorder="1" applyAlignment="1" applyProtection="1">
      <alignment horizontal="right" vertical="center"/>
      <protection hidden="1"/>
    </xf>
    <xf numFmtId="0" fontId="20" fillId="0" borderId="11" xfId="0" applyFont="1" applyBorder="1" applyAlignment="1" applyProtection="1">
      <alignment horizontal="center" vertical="center"/>
      <protection hidden="1"/>
    </xf>
    <xf numFmtId="0" fontId="17" fillId="0" borderId="11" xfId="0" applyFont="1" applyBorder="1" applyAlignment="1" applyProtection="1">
      <alignment horizontal="right" vertical="center"/>
      <protection hidden="1"/>
    </xf>
    <xf numFmtId="0" fontId="0" fillId="0" borderId="16" xfId="0" applyBorder="1" applyProtection="1">
      <protection hidden="1"/>
    </xf>
    <xf numFmtId="0" fontId="16" fillId="17" borderId="16" xfId="0" applyFont="1" applyFill="1" applyBorder="1" applyAlignment="1" applyProtection="1">
      <alignment horizontal="right" vertical="center"/>
      <protection hidden="1"/>
    </xf>
    <xf numFmtId="166" fontId="16" fillId="17" borderId="16" xfId="0" applyNumberFormat="1" applyFont="1" applyFill="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17" fillId="0" borderId="12" xfId="0" applyFont="1" applyBorder="1" applyAlignment="1" applyProtection="1">
      <alignment horizontal="right" vertical="center"/>
      <protection hidden="1"/>
    </xf>
    <xf numFmtId="166" fontId="16" fillId="17" borderId="2" xfId="0" applyNumberFormat="1" applyFont="1" applyFill="1" applyBorder="1" applyAlignment="1" applyProtection="1">
      <alignment horizontal="center" vertical="center"/>
      <protection hidden="1"/>
    </xf>
    <xf numFmtId="166" fontId="17" fillId="21" borderId="3" xfId="0" applyNumberFormat="1" applyFont="1" applyFill="1" applyBorder="1" applyAlignment="1" applyProtection="1">
      <alignment horizontal="center" vertical="center"/>
      <protection locked="0" hidden="1"/>
    </xf>
    <xf numFmtId="49" fontId="17" fillId="21" borderId="3" xfId="0" applyNumberFormat="1" applyFont="1" applyFill="1" applyBorder="1" applyAlignment="1" applyProtection="1">
      <alignment horizontal="center" vertical="center"/>
      <protection locked="0" hidden="1"/>
    </xf>
    <xf numFmtId="166" fontId="17" fillId="21" borderId="11" xfId="0" applyNumberFormat="1" applyFont="1" applyFill="1" applyBorder="1" applyAlignment="1" applyProtection="1">
      <alignment horizontal="center" vertical="center"/>
      <protection locked="0" hidden="1"/>
    </xf>
    <xf numFmtId="49" fontId="17" fillId="21" borderId="11" xfId="0" applyNumberFormat="1" applyFont="1" applyFill="1" applyBorder="1" applyAlignment="1" applyProtection="1">
      <alignment horizontal="center" vertical="center"/>
      <protection locked="0" hidden="1"/>
    </xf>
    <xf numFmtId="166" fontId="17" fillId="21" borderId="12" xfId="0" applyNumberFormat="1" applyFont="1" applyFill="1" applyBorder="1" applyAlignment="1" applyProtection="1">
      <alignment horizontal="center" vertical="center"/>
      <protection locked="0" hidden="1"/>
    </xf>
    <xf numFmtId="49" fontId="17" fillId="21" borderId="12" xfId="0" applyNumberFormat="1" applyFont="1" applyFill="1" applyBorder="1" applyAlignment="1" applyProtection="1">
      <alignment horizontal="center" vertical="center"/>
      <protection locked="0" hidden="1"/>
    </xf>
    <xf numFmtId="166" fontId="16" fillId="17" borderId="16" xfId="0" applyNumberFormat="1" applyFont="1" applyFill="1" applyBorder="1" applyAlignment="1" applyProtection="1">
      <alignment horizontal="center" vertical="center"/>
      <protection locked="0" hidden="1"/>
    </xf>
    <xf numFmtId="166" fontId="22" fillId="21" borderId="2" xfId="0" applyNumberFormat="1" applyFont="1" applyFill="1" applyBorder="1" applyAlignment="1" applyProtection="1">
      <alignment horizontal="center" vertical="center"/>
      <protection locked="0" hidden="1"/>
    </xf>
    <xf numFmtId="49" fontId="2" fillId="10" borderId="3" xfId="0" applyNumberFormat="1" applyFont="1" applyFill="1" applyBorder="1" applyAlignment="1" applyProtection="1">
      <alignment horizontal="left" vertical="center" wrapText="1"/>
      <protection locked="0" hidden="1"/>
    </xf>
    <xf numFmtId="0" fontId="6" fillId="12" borderId="4" xfId="0" applyFont="1" applyFill="1" applyBorder="1" applyAlignment="1" applyProtection="1">
      <alignment horizontal="center" vertical="center" wrapText="1"/>
      <protection hidden="1"/>
    </xf>
    <xf numFmtId="0" fontId="2" fillId="0" borderId="2" xfId="0" applyFont="1" applyBorder="1" applyAlignment="1" applyProtection="1">
      <alignment vertical="center" wrapText="1"/>
      <protection hidden="1"/>
    </xf>
    <xf numFmtId="49" fontId="2" fillId="10" borderId="3" xfId="0" applyNumberFormat="1" applyFont="1" applyFill="1" applyBorder="1" applyAlignment="1" applyProtection="1">
      <alignment horizontal="center" vertical="center" wrapText="1"/>
      <protection locked="0" hidden="1"/>
    </xf>
    <xf numFmtId="166" fontId="2" fillId="10" borderId="3" xfId="0" applyNumberFormat="1" applyFont="1" applyFill="1" applyBorder="1" applyAlignment="1" applyProtection="1">
      <alignment horizontal="center" vertical="center" wrapText="1"/>
      <protection locked="0" hidden="1"/>
    </xf>
    <xf numFmtId="0" fontId="66" fillId="23" borderId="6" xfId="0" applyFont="1" applyFill="1" applyBorder="1" applyAlignment="1" applyProtection="1">
      <alignment horizontal="right" vertical="center"/>
      <protection hidden="1"/>
    </xf>
    <xf numFmtId="0" fontId="6" fillId="12" borderId="4" xfId="0" applyFont="1" applyFill="1" applyBorder="1" applyAlignment="1" applyProtection="1">
      <alignment horizontal="right" vertical="center" wrapText="1"/>
      <protection hidden="1"/>
    </xf>
    <xf numFmtId="0" fontId="2" fillId="0" borderId="0" xfId="0" applyFont="1" applyAlignment="1" applyProtection="1">
      <alignment horizontal="center" vertical="center" wrapText="1"/>
      <protection hidden="1"/>
    </xf>
    <xf numFmtId="0" fontId="2" fillId="0" borderId="0" xfId="0" applyFont="1" applyAlignment="1" applyProtection="1">
      <alignment horizontal="right" vertical="center" wrapText="1"/>
      <protection hidden="1"/>
    </xf>
    <xf numFmtId="49" fontId="2" fillId="10" borderId="3" xfId="0" applyNumberFormat="1" applyFont="1" applyFill="1" applyBorder="1" applyAlignment="1" applyProtection="1">
      <alignment horizontal="right" vertical="center" wrapText="1"/>
      <protection locked="0" hidden="1"/>
    </xf>
    <xf numFmtId="0" fontId="76" fillId="16" borderId="3" xfId="0" applyFont="1" applyFill="1" applyBorder="1" applyAlignment="1" applyProtection="1">
      <alignment horizontal="center"/>
      <protection hidden="1"/>
    </xf>
    <xf numFmtId="0" fontId="17" fillId="0" borderId="3" xfId="0" applyFont="1" applyBorder="1" applyAlignment="1" applyProtection="1">
      <alignment horizontal="right" vertical="center" wrapText="1"/>
      <protection hidden="1"/>
    </xf>
    <xf numFmtId="0" fontId="17" fillId="0" borderId="11" xfId="0" applyFont="1" applyBorder="1" applyAlignment="1" applyProtection="1">
      <alignment horizontal="right" vertical="center" wrapText="1"/>
      <protection hidden="1"/>
    </xf>
    <xf numFmtId="0" fontId="16" fillId="17" borderId="19" xfId="0" applyFont="1" applyFill="1" applyBorder="1" applyAlignment="1" applyProtection="1">
      <alignment horizontal="right" vertical="center"/>
      <protection hidden="1"/>
    </xf>
    <xf numFmtId="0" fontId="8" fillId="14" borderId="0" xfId="0" applyFont="1" applyFill="1" applyAlignment="1" applyProtection="1">
      <alignment horizontal="right" vertical="center" wrapText="1"/>
      <protection hidden="1"/>
    </xf>
    <xf numFmtId="0" fontId="10" fillId="19" borderId="0" xfId="0" applyFont="1" applyFill="1" applyAlignment="1" applyProtection="1">
      <alignment horizontal="right" vertical="center" wrapText="1"/>
      <protection hidden="1"/>
    </xf>
    <xf numFmtId="0" fontId="10" fillId="11" borderId="0" xfId="0" applyFont="1" applyFill="1" applyAlignment="1" applyProtection="1">
      <alignment horizontal="right" vertical="center" wrapText="1"/>
      <protection hidden="1"/>
    </xf>
    <xf numFmtId="0" fontId="65" fillId="19" borderId="0" xfId="0" applyFont="1" applyFill="1" applyAlignment="1" applyProtection="1">
      <alignment vertical="center"/>
      <protection hidden="1"/>
    </xf>
    <xf numFmtId="0" fontId="10" fillId="19" borderId="0" xfId="0" applyFont="1" applyFill="1" applyAlignment="1" applyProtection="1">
      <alignment vertical="center" readingOrder="2"/>
      <protection hidden="1"/>
    </xf>
    <xf numFmtId="0" fontId="17" fillId="0" borderId="0" xfId="0" applyFont="1" applyProtection="1">
      <protection hidden="1"/>
    </xf>
    <xf numFmtId="0" fontId="16" fillId="16" borderId="121" xfId="0" applyFont="1" applyFill="1" applyBorder="1" applyAlignment="1" applyProtection="1">
      <alignment horizontal="center" vertical="center" wrapText="1"/>
      <protection hidden="1"/>
    </xf>
    <xf numFmtId="0" fontId="64" fillId="0" borderId="119" xfId="0" applyFont="1" applyBorder="1" applyAlignment="1" applyProtection="1">
      <alignment horizontal="center" vertical="center" wrapText="1"/>
      <protection hidden="1"/>
    </xf>
    <xf numFmtId="0" fontId="64" fillId="0" borderId="112" xfId="0" applyFont="1" applyBorder="1" applyAlignment="1" applyProtection="1">
      <alignment horizontal="center" vertical="center" wrapText="1"/>
      <protection hidden="1"/>
    </xf>
    <xf numFmtId="0" fontId="64" fillId="0" borderId="114" xfId="0" applyFont="1" applyBorder="1" applyAlignment="1" applyProtection="1">
      <alignment horizontal="center" vertical="center" wrapText="1"/>
      <protection hidden="1"/>
    </xf>
    <xf numFmtId="0" fontId="64" fillId="0" borderId="116" xfId="0" applyFont="1" applyBorder="1" applyAlignment="1" applyProtection="1">
      <alignment horizontal="center" vertical="center" wrapText="1"/>
      <protection hidden="1"/>
    </xf>
    <xf numFmtId="49" fontId="17" fillId="21" borderId="12" xfId="0" applyNumberFormat="1" applyFont="1" applyFill="1" applyBorder="1" applyAlignment="1" applyProtection="1">
      <alignment horizontal="right" vertical="center" wrapText="1"/>
      <protection locked="0" hidden="1"/>
    </xf>
    <xf numFmtId="49" fontId="17" fillId="21" borderId="120" xfId="0" applyNumberFormat="1" applyFont="1" applyFill="1" applyBorder="1" applyAlignment="1" applyProtection="1">
      <alignment horizontal="right" vertical="center" wrapText="1"/>
      <protection locked="0" hidden="1"/>
    </xf>
    <xf numFmtId="49" fontId="17" fillId="21" borderId="3" xfId="0" applyNumberFormat="1" applyFont="1" applyFill="1" applyBorder="1" applyAlignment="1" applyProtection="1">
      <alignment horizontal="right" vertical="center" wrapText="1"/>
      <protection locked="0" hidden="1"/>
    </xf>
    <xf numFmtId="49" fontId="17" fillId="21" borderId="113" xfId="0" applyNumberFormat="1" applyFont="1" applyFill="1" applyBorder="1" applyAlignment="1" applyProtection="1">
      <alignment horizontal="right" vertical="center" wrapText="1"/>
      <protection locked="0" hidden="1"/>
    </xf>
    <xf numFmtId="49" fontId="17" fillId="21" borderId="11" xfId="0" applyNumberFormat="1" applyFont="1" applyFill="1" applyBorder="1" applyAlignment="1" applyProtection="1">
      <alignment horizontal="right" vertical="center" wrapText="1"/>
      <protection locked="0" hidden="1"/>
    </xf>
    <xf numFmtId="49" fontId="17" fillId="21" borderId="115" xfId="0" applyNumberFormat="1" applyFont="1" applyFill="1" applyBorder="1" applyAlignment="1" applyProtection="1">
      <alignment horizontal="right" vertical="center" wrapText="1"/>
      <protection locked="0" hidden="1"/>
    </xf>
    <xf numFmtId="49" fontId="17" fillId="21" borderId="117" xfId="0" applyNumberFormat="1" applyFont="1" applyFill="1" applyBorder="1" applyAlignment="1" applyProtection="1">
      <alignment horizontal="right" vertical="center" wrapText="1"/>
      <protection locked="0" hidden="1"/>
    </xf>
    <xf numFmtId="49" fontId="17" fillId="21" borderId="118" xfId="0" applyNumberFormat="1" applyFont="1" applyFill="1" applyBorder="1" applyAlignment="1" applyProtection="1">
      <alignment horizontal="right" vertical="center" wrapText="1"/>
      <protection locked="0" hidden="1"/>
    </xf>
    <xf numFmtId="49" fontId="77" fillId="21" borderId="12" xfId="0" applyNumberFormat="1" applyFont="1" applyFill="1" applyBorder="1" applyAlignment="1" applyProtection="1">
      <alignment horizontal="right" vertical="center" wrapText="1"/>
      <protection locked="0" hidden="1"/>
    </xf>
    <xf numFmtId="49" fontId="17" fillId="21" borderId="12" xfId="0" applyNumberFormat="1" applyFont="1" applyFill="1" applyBorder="1" applyAlignment="1" applyProtection="1">
      <alignment horizontal="center" vertical="center" wrapText="1"/>
      <protection locked="0" hidden="1"/>
    </xf>
    <xf numFmtId="49" fontId="17" fillId="21" borderId="3" xfId="0" applyNumberFormat="1" applyFont="1" applyFill="1" applyBorder="1" applyAlignment="1" applyProtection="1">
      <alignment horizontal="center" vertical="center" wrapText="1"/>
      <protection locked="0" hidden="1"/>
    </xf>
    <xf numFmtId="49" fontId="17" fillId="21" borderId="11" xfId="0" applyNumberFormat="1" applyFont="1" applyFill="1" applyBorder="1" applyAlignment="1" applyProtection="1">
      <alignment horizontal="center" vertical="center" wrapText="1"/>
      <protection locked="0" hidden="1"/>
    </xf>
    <xf numFmtId="49" fontId="17" fillId="21" borderId="117" xfId="0" applyNumberFormat="1" applyFont="1" applyFill="1" applyBorder="1" applyAlignment="1" applyProtection="1">
      <alignment horizontal="center" vertical="center" wrapText="1"/>
      <protection locked="0" hidden="1"/>
    </xf>
    <xf numFmtId="0" fontId="0" fillId="0" borderId="0" xfId="0" applyAlignment="1" applyProtection="1">
      <alignment horizontal="center"/>
      <protection hidden="1"/>
    </xf>
    <xf numFmtId="0" fontId="2" fillId="0" borderId="0" xfId="0" applyFont="1" applyAlignment="1" applyProtection="1">
      <alignment vertical="center" wrapText="1" readingOrder="2"/>
      <protection hidden="1"/>
    </xf>
    <xf numFmtId="166" fontId="31" fillId="21" borderId="12" xfId="0" applyNumberFormat="1" applyFont="1" applyFill="1" applyBorder="1" applyAlignment="1" applyProtection="1">
      <alignment horizontal="left" vertical="center" wrapText="1" readingOrder="2"/>
      <protection locked="0" hidden="1"/>
    </xf>
    <xf numFmtId="166" fontId="31" fillId="21" borderId="3" xfId="0" applyNumberFormat="1" applyFont="1" applyFill="1" applyBorder="1" applyAlignment="1" applyProtection="1">
      <alignment horizontal="left" vertical="center" wrapText="1" readingOrder="2"/>
      <protection locked="0" hidden="1"/>
    </xf>
    <xf numFmtId="166" fontId="31" fillId="21" borderId="11" xfId="0" applyNumberFormat="1" applyFont="1" applyFill="1" applyBorder="1" applyAlignment="1" applyProtection="1">
      <alignment horizontal="left" vertical="center" wrapText="1" readingOrder="2"/>
      <protection locked="0" hidden="1"/>
    </xf>
    <xf numFmtId="166" fontId="31" fillId="21" borderId="117" xfId="0" applyNumberFormat="1" applyFont="1" applyFill="1" applyBorder="1" applyAlignment="1" applyProtection="1">
      <alignment horizontal="left" vertical="center" wrapText="1" readingOrder="2"/>
      <protection locked="0" hidden="1"/>
    </xf>
    <xf numFmtId="0" fontId="0" fillId="0" borderId="0" xfId="0" applyAlignment="1" applyProtection="1">
      <alignment readingOrder="2"/>
      <protection hidden="1"/>
    </xf>
    <xf numFmtId="0" fontId="0" fillId="42" borderId="0" xfId="0" applyFill="1" applyProtection="1">
      <protection hidden="1"/>
    </xf>
    <xf numFmtId="0" fontId="65" fillId="0" borderId="0" xfId="0" applyFont="1" applyAlignment="1" applyProtection="1">
      <alignment horizontal="right"/>
      <protection hidden="1"/>
    </xf>
    <xf numFmtId="0" fontId="29" fillId="0" borderId="0" xfId="0" applyFont="1" applyAlignment="1" applyProtection="1">
      <alignment horizontal="right"/>
      <protection hidden="1"/>
    </xf>
    <xf numFmtId="49" fontId="31" fillId="21" borderId="3" xfId="0" applyNumberFormat="1" applyFont="1" applyFill="1" applyBorder="1" applyAlignment="1" applyProtection="1">
      <alignment horizontal="center" vertical="center"/>
      <protection locked="0" hidden="1"/>
    </xf>
    <xf numFmtId="0" fontId="64" fillId="24" borderId="3" xfId="0" applyFont="1" applyFill="1" applyBorder="1" applyAlignment="1" applyProtection="1">
      <alignment horizontal="right" vertical="center"/>
      <protection locked="0" hidden="1"/>
    </xf>
    <xf numFmtId="49" fontId="78" fillId="21" borderId="3" xfId="0" applyNumberFormat="1" applyFont="1" applyFill="1" applyBorder="1" applyAlignment="1" applyProtection="1">
      <alignment horizontal="center" vertical="center"/>
      <protection locked="0" hidden="1"/>
    </xf>
    <xf numFmtId="49" fontId="78" fillId="21" borderId="11" xfId="0" applyNumberFormat="1" applyFont="1" applyFill="1" applyBorder="1" applyAlignment="1" applyProtection="1">
      <alignment horizontal="center" vertical="center"/>
      <protection locked="0" hidden="1"/>
    </xf>
    <xf numFmtId="0" fontId="34" fillId="20" borderId="102" xfId="0" applyFont="1" applyFill="1" applyBorder="1" applyAlignment="1" applyProtection="1">
      <alignment horizontal="center" vertical="center"/>
      <protection hidden="1"/>
    </xf>
    <xf numFmtId="0" fontId="73" fillId="41" borderId="132" xfId="0" applyFont="1" applyFill="1" applyBorder="1" applyAlignment="1" applyProtection="1">
      <alignment horizontal="right" vertical="center"/>
      <protection hidden="1"/>
    </xf>
    <xf numFmtId="166" fontId="79" fillId="21" borderId="132" xfId="0" applyNumberFormat="1" applyFont="1" applyFill="1" applyBorder="1" applyAlignment="1" applyProtection="1">
      <alignment horizontal="center" vertical="center"/>
      <protection locked="0" hidden="1"/>
    </xf>
    <xf numFmtId="166" fontId="79" fillId="21" borderId="106" xfId="0" applyNumberFormat="1" applyFont="1" applyFill="1" applyBorder="1" applyAlignment="1" applyProtection="1">
      <alignment horizontal="center" vertical="center"/>
      <protection locked="0" hidden="1"/>
    </xf>
    <xf numFmtId="0" fontId="21" fillId="17" borderId="104" xfId="0" applyFont="1" applyFill="1" applyBorder="1" applyAlignment="1" applyProtection="1">
      <alignment horizontal="center" vertical="center"/>
      <protection hidden="1"/>
    </xf>
    <xf numFmtId="0" fontId="21" fillId="17" borderId="133" xfId="0" applyFont="1" applyFill="1" applyBorder="1" applyAlignment="1" applyProtection="1">
      <alignment horizontal="right" vertical="center"/>
      <protection hidden="1"/>
    </xf>
    <xf numFmtId="166" fontId="21" fillId="17" borderId="133" xfId="0" applyNumberFormat="1" applyFont="1" applyFill="1" applyBorder="1" applyAlignment="1" applyProtection="1">
      <alignment horizontal="center" vertical="center" readingOrder="2"/>
      <protection hidden="1"/>
    </xf>
    <xf numFmtId="166" fontId="21" fillId="17" borderId="107" xfId="0" applyNumberFormat="1" applyFont="1" applyFill="1" applyBorder="1" applyAlignment="1" applyProtection="1">
      <alignment horizontal="center" vertical="center" readingOrder="2"/>
      <protection hidden="1"/>
    </xf>
    <xf numFmtId="0" fontId="16" fillId="17" borderId="2" xfId="0" applyFont="1" applyFill="1" applyBorder="1" applyAlignment="1" applyProtection="1">
      <alignment horizontal="right" vertical="center" wrapText="1"/>
      <protection hidden="1"/>
    </xf>
    <xf numFmtId="166" fontId="16" fillId="17" borderId="2" xfId="0" applyNumberFormat="1" applyFont="1" applyFill="1" applyBorder="1" applyAlignment="1" applyProtection="1">
      <alignment horizontal="left" vertical="center" wrapText="1"/>
      <protection hidden="1"/>
    </xf>
    <xf numFmtId="0" fontId="15" fillId="15" borderId="77" xfId="0" applyFont="1" applyFill="1" applyBorder="1" applyAlignment="1" applyProtection="1">
      <alignment horizontal="right" vertical="center"/>
      <protection hidden="1"/>
    </xf>
    <xf numFmtId="0" fontId="15" fillId="15" borderId="78" xfId="0" applyFont="1" applyFill="1" applyBorder="1" applyAlignment="1" applyProtection="1">
      <alignment horizontal="right" vertical="center"/>
      <protection hidden="1"/>
    </xf>
    <xf numFmtId="0" fontId="38" fillId="30" borderId="73" xfId="0" applyFont="1" applyFill="1" applyBorder="1" applyAlignment="1" applyProtection="1">
      <alignment horizontal="right" vertical="center"/>
      <protection hidden="1"/>
    </xf>
    <xf numFmtId="0" fontId="38" fillId="30" borderId="74" xfId="0" applyFont="1" applyFill="1" applyBorder="1" applyAlignment="1" applyProtection="1">
      <alignment horizontal="right" vertical="center"/>
      <protection hidden="1"/>
    </xf>
    <xf numFmtId="0" fontId="16" fillId="16" borderId="3" xfId="0" applyFont="1" applyFill="1" applyBorder="1" applyAlignment="1" applyProtection="1">
      <alignment horizontal="center" vertical="center" wrapText="1"/>
      <protection hidden="1"/>
    </xf>
    <xf numFmtId="0" fontId="16" fillId="16" borderId="0" xfId="0" applyFont="1" applyFill="1" applyAlignment="1" applyProtection="1">
      <alignment horizontal="right" vertical="center"/>
      <protection hidden="1"/>
    </xf>
    <xf numFmtId="0" fontId="16" fillId="16" borderId="0" xfId="0" applyFont="1" applyFill="1" applyAlignment="1" applyProtection="1">
      <alignment horizontal="center" vertical="center"/>
      <protection hidden="1"/>
    </xf>
    <xf numFmtId="0" fontId="18" fillId="24" borderId="63" xfId="0" applyFont="1" applyFill="1" applyBorder="1" applyAlignment="1" applyProtection="1">
      <alignment horizontal="right" vertical="center" readingOrder="2"/>
      <protection hidden="1"/>
    </xf>
    <xf numFmtId="0" fontId="16" fillId="29" borderId="64" xfId="0" applyFont="1" applyFill="1" applyBorder="1" applyAlignment="1" applyProtection="1">
      <alignment horizontal="center" vertical="center"/>
      <protection hidden="1"/>
    </xf>
    <xf numFmtId="166" fontId="21" fillId="24" borderId="57" xfId="0" applyNumberFormat="1" applyFont="1" applyFill="1" applyBorder="1" applyAlignment="1" applyProtection="1">
      <alignment horizontal="center" vertical="center"/>
      <protection hidden="1"/>
    </xf>
    <xf numFmtId="0" fontId="67" fillId="24" borderId="65" xfId="0" applyFont="1" applyFill="1" applyBorder="1" applyAlignment="1" applyProtection="1">
      <alignment horizontal="right" vertical="center" wrapText="1"/>
      <protection hidden="1"/>
    </xf>
    <xf numFmtId="0" fontId="18" fillId="24" borderId="59" xfId="0" applyFont="1" applyFill="1" applyBorder="1" applyAlignment="1" applyProtection="1">
      <alignment horizontal="right" vertical="center" readingOrder="2"/>
      <protection hidden="1"/>
    </xf>
    <xf numFmtId="0" fontId="16" fillId="29" borderId="62" xfId="0" applyFont="1" applyFill="1" applyBorder="1" applyAlignment="1" applyProtection="1">
      <alignment horizontal="center" vertical="center"/>
      <protection hidden="1"/>
    </xf>
    <xf numFmtId="170" fontId="21" fillId="24" borderId="58" xfId="0" applyNumberFormat="1" applyFont="1" applyFill="1" applyBorder="1" applyAlignment="1" applyProtection="1">
      <alignment horizontal="center" vertical="center"/>
      <protection hidden="1"/>
    </xf>
    <xf numFmtId="0" fontId="67" fillId="24" borderId="61" xfId="0" applyFont="1" applyFill="1" applyBorder="1" applyAlignment="1" applyProtection="1">
      <alignment horizontal="right" vertical="center" wrapText="1"/>
      <protection hidden="1"/>
    </xf>
    <xf numFmtId="0" fontId="13" fillId="29" borderId="28" xfId="0" applyFont="1" applyFill="1" applyBorder="1" applyAlignment="1" applyProtection="1">
      <alignment horizontal="center" vertical="center" wrapText="1"/>
      <protection hidden="1"/>
    </xf>
    <xf numFmtId="0" fontId="67" fillId="13" borderId="28" xfId="0" applyFont="1" applyFill="1" applyBorder="1" applyAlignment="1" applyProtection="1">
      <alignment horizontal="center" vertical="center" wrapText="1"/>
      <protection hidden="1"/>
    </xf>
    <xf numFmtId="0" fontId="6" fillId="0" borderId="0" xfId="0" applyFont="1" applyProtection="1">
      <protection hidden="1"/>
    </xf>
    <xf numFmtId="0" fontId="3" fillId="2" borderId="0" xfId="0" applyFont="1" applyFill="1" applyProtection="1">
      <protection hidden="1"/>
    </xf>
    <xf numFmtId="0" fontId="0" fillId="0" borderId="5" xfId="0" applyBorder="1" applyProtection="1">
      <protection hidden="1"/>
    </xf>
    <xf numFmtId="166" fontId="0" fillId="0" borderId="5" xfId="0" applyNumberFormat="1" applyBorder="1" applyProtection="1">
      <protection hidden="1"/>
    </xf>
    <xf numFmtId="168" fontId="0" fillId="0" borderId="5" xfId="0" applyNumberFormat="1" applyBorder="1" applyProtection="1">
      <protection hidden="1"/>
    </xf>
    <xf numFmtId="0" fontId="10" fillId="0" borderId="0" xfId="0" applyFont="1" applyProtection="1">
      <protection hidden="1"/>
    </xf>
    <xf numFmtId="0" fontId="17" fillId="21" borderId="11" xfId="0" applyFont="1" applyFill="1" applyBorder="1" applyAlignment="1" applyProtection="1">
      <alignment horizontal="right" vertical="center" wrapText="1"/>
      <protection locked="0" hidden="1"/>
    </xf>
    <xf numFmtId="14" fontId="17" fillId="21" borderId="3" xfId="0" applyNumberFormat="1" applyFont="1" applyFill="1" applyBorder="1" applyAlignment="1" applyProtection="1">
      <alignment horizontal="center" vertical="center" wrapText="1"/>
      <protection locked="0" hidden="1"/>
    </xf>
    <xf numFmtId="166" fontId="17" fillId="21" borderId="2" xfId="0" applyNumberFormat="1" applyFont="1" applyFill="1" applyBorder="1" applyAlignment="1" applyProtection="1">
      <alignment horizontal="left" vertical="center" wrapText="1"/>
      <protection locked="0" hidden="1"/>
    </xf>
    <xf numFmtId="0" fontId="35" fillId="24" borderId="28" xfId="0" applyFont="1" applyFill="1" applyBorder="1" applyAlignment="1" applyProtection="1">
      <alignment horizontal="center" vertical="center"/>
      <protection hidden="1"/>
    </xf>
    <xf numFmtId="0" fontId="35" fillId="24" borderId="29" xfId="0" applyFont="1" applyFill="1" applyBorder="1" applyAlignment="1" applyProtection="1">
      <alignment horizontal="center" vertical="center"/>
      <protection hidden="1"/>
    </xf>
    <xf numFmtId="49" fontId="21" fillId="24" borderId="57" xfId="0" applyNumberFormat="1" applyFont="1" applyFill="1" applyBorder="1" applyAlignment="1" applyProtection="1">
      <alignment horizontal="center" vertical="center"/>
      <protection hidden="1"/>
    </xf>
    <xf numFmtId="167" fontId="21" fillId="24" borderId="57" xfId="0" applyNumberFormat="1" applyFont="1" applyFill="1" applyBorder="1" applyAlignment="1" applyProtection="1">
      <alignment horizontal="center" vertical="center"/>
      <protection hidden="1"/>
    </xf>
    <xf numFmtId="0" fontId="21" fillId="24" borderId="58" xfId="0" applyFont="1" applyFill="1" applyBorder="1" applyAlignment="1" applyProtection="1">
      <alignment horizontal="center" vertical="center"/>
      <protection hidden="1"/>
    </xf>
    <xf numFmtId="166" fontId="33" fillId="17" borderId="65" xfId="0" applyNumberFormat="1" applyFont="1" applyFill="1" applyBorder="1" applyAlignment="1" applyProtection="1">
      <alignment horizontal="right" vertical="center" readingOrder="2"/>
      <protection hidden="1"/>
    </xf>
    <xf numFmtId="167" fontId="16" fillId="17" borderId="65" xfId="0" applyNumberFormat="1" applyFont="1" applyFill="1" applyBorder="1" applyAlignment="1" applyProtection="1">
      <alignment horizontal="right" vertical="center" readingOrder="2"/>
      <protection hidden="1"/>
    </xf>
    <xf numFmtId="167" fontId="16" fillId="17" borderId="61" xfId="0" applyNumberFormat="1" applyFont="1" applyFill="1" applyBorder="1" applyAlignment="1" applyProtection="1">
      <alignment horizontal="right" vertical="center" readingOrder="2"/>
      <protection hidden="1"/>
    </xf>
    <xf numFmtId="0" fontId="18" fillId="21" borderId="65" xfId="0" applyFont="1" applyFill="1" applyBorder="1" applyAlignment="1" applyProtection="1">
      <alignment horizontal="center" vertical="center"/>
      <protection locked="0" hidden="1"/>
    </xf>
    <xf numFmtId="0" fontId="15" fillId="15" borderId="0" xfId="0" applyFont="1" applyFill="1" applyAlignment="1" applyProtection="1">
      <alignment horizontal="right" vertical="center"/>
      <protection hidden="1"/>
    </xf>
    <xf numFmtId="0" fontId="65" fillId="23" borderId="0" xfId="0" applyFont="1" applyFill="1" applyAlignment="1" applyProtection="1">
      <alignment horizontal="right" vertical="center"/>
      <protection hidden="1"/>
    </xf>
    <xf numFmtId="0" fontId="39" fillId="17" borderId="69" xfId="0" applyFont="1" applyFill="1" applyBorder="1" applyAlignment="1" applyProtection="1">
      <alignment horizontal="right" vertical="center"/>
      <protection hidden="1"/>
    </xf>
    <xf numFmtId="0" fontId="39" fillId="17" borderId="71" xfId="0" applyFont="1" applyFill="1" applyBorder="1" applyAlignment="1" applyProtection="1">
      <alignment horizontal="right" vertical="center"/>
      <protection hidden="1"/>
    </xf>
    <xf numFmtId="0" fontId="15" fillId="15" borderId="37" xfId="0" applyFont="1" applyFill="1" applyBorder="1" applyAlignment="1" applyProtection="1">
      <alignment horizontal="right" vertical="center"/>
      <protection hidden="1"/>
    </xf>
    <xf numFmtId="0" fontId="17" fillId="24" borderId="60" xfId="0" applyFont="1" applyFill="1" applyBorder="1" applyAlignment="1" applyProtection="1">
      <alignment horizontal="right" vertical="center" wrapText="1"/>
      <protection hidden="1"/>
    </xf>
    <xf numFmtId="0" fontId="74" fillId="13" borderId="60" xfId="0" applyFont="1" applyFill="1" applyBorder="1" applyAlignment="1" applyProtection="1">
      <alignment horizontal="right" vertical="center" wrapText="1"/>
      <protection hidden="1"/>
    </xf>
    <xf numFmtId="0" fontId="16" fillId="24" borderId="0" xfId="0" applyFont="1" applyFill="1" applyAlignment="1" applyProtection="1">
      <alignment horizontal="right" vertical="center" wrapText="1"/>
      <protection hidden="1"/>
    </xf>
    <xf numFmtId="0" fontId="67" fillId="33" borderId="75" xfId="0" applyFont="1" applyFill="1" applyBorder="1" applyAlignment="1" applyProtection="1">
      <alignment horizontal="center" vertical="center" wrapText="1"/>
      <protection hidden="1"/>
    </xf>
    <xf numFmtId="166" fontId="41" fillId="29" borderId="29" xfId="0" applyNumberFormat="1" applyFont="1" applyFill="1" applyBorder="1" applyAlignment="1" applyProtection="1">
      <alignment horizontal="center" vertical="center"/>
      <protection hidden="1"/>
    </xf>
    <xf numFmtId="0" fontId="13" fillId="29" borderId="75" xfId="0" applyFont="1" applyFill="1" applyBorder="1" applyAlignment="1" applyProtection="1">
      <alignment horizontal="center" vertical="center" wrapText="1"/>
      <protection hidden="1"/>
    </xf>
    <xf numFmtId="0" fontId="18" fillId="24" borderId="63" xfId="0" applyFont="1" applyFill="1" applyBorder="1" applyAlignment="1" applyProtection="1">
      <alignment horizontal="right" vertical="center" wrapText="1" readingOrder="2"/>
      <protection hidden="1"/>
    </xf>
    <xf numFmtId="166" fontId="21" fillId="24" borderId="57" xfId="0" applyNumberFormat="1" applyFont="1" applyFill="1" applyBorder="1" applyAlignment="1" applyProtection="1">
      <alignment horizontal="right" vertical="center" readingOrder="2"/>
      <protection hidden="1"/>
    </xf>
    <xf numFmtId="170" fontId="21" fillId="24" borderId="57" xfId="0" applyNumberFormat="1" applyFont="1" applyFill="1" applyBorder="1" applyAlignment="1" applyProtection="1">
      <alignment horizontal="right" vertical="center" readingOrder="2"/>
      <protection hidden="1"/>
    </xf>
    <xf numFmtId="171" fontId="21" fillId="24" borderId="57" xfId="0" applyNumberFormat="1" applyFont="1" applyFill="1" applyBorder="1" applyAlignment="1" applyProtection="1">
      <alignment horizontal="right" vertical="center" readingOrder="2"/>
      <protection hidden="1"/>
    </xf>
    <xf numFmtId="0" fontId="18" fillId="13" borderId="63" xfId="0" applyFont="1" applyFill="1" applyBorder="1" applyAlignment="1" applyProtection="1">
      <alignment horizontal="right" vertical="center" wrapText="1" readingOrder="2"/>
      <protection hidden="1"/>
    </xf>
    <xf numFmtId="166" fontId="49" fillId="13" borderId="57" xfId="0" applyNumberFormat="1" applyFont="1" applyFill="1" applyBorder="1" applyAlignment="1" applyProtection="1">
      <alignment horizontal="right" vertical="center" readingOrder="2"/>
      <protection hidden="1"/>
    </xf>
    <xf numFmtId="167" fontId="21" fillId="24" borderId="57" xfId="0" applyNumberFormat="1" applyFont="1" applyFill="1" applyBorder="1" applyAlignment="1" applyProtection="1">
      <alignment horizontal="right" vertical="center" readingOrder="2"/>
      <protection hidden="1"/>
    </xf>
    <xf numFmtId="0" fontId="18" fillId="24" borderId="59" xfId="0" applyFont="1" applyFill="1" applyBorder="1" applyAlignment="1" applyProtection="1">
      <alignment horizontal="right" vertical="center" wrapText="1" readingOrder="2"/>
      <protection hidden="1"/>
    </xf>
    <xf numFmtId="166" fontId="21" fillId="24" borderId="58" xfId="0" applyNumberFormat="1" applyFont="1" applyFill="1" applyBorder="1" applyAlignment="1" applyProtection="1">
      <alignment horizontal="right" vertical="center" readingOrder="2"/>
      <protection hidden="1"/>
    </xf>
    <xf numFmtId="0" fontId="50" fillId="21" borderId="0" xfId="0" applyFont="1" applyFill="1" applyAlignment="1" applyProtection="1">
      <alignment horizontal="center" vertical="center"/>
      <protection locked="0" hidden="1"/>
    </xf>
    <xf numFmtId="0" fontId="0" fillId="0" borderId="0" xfId="0" applyAlignment="1" applyProtection="1">
      <alignment horizontal="center" vertical="center"/>
      <protection hidden="1"/>
    </xf>
    <xf numFmtId="0" fontId="11" fillId="0" borderId="0" xfId="1" applyProtection="1">
      <protection hidden="1"/>
    </xf>
    <xf numFmtId="0" fontId="44" fillId="17" borderId="70" xfId="0" applyFont="1" applyFill="1" applyBorder="1" applyAlignment="1" applyProtection="1">
      <alignment horizontal="center" vertical="center" wrapText="1"/>
      <protection hidden="1"/>
    </xf>
    <xf numFmtId="0" fontId="44" fillId="17" borderId="69" xfId="0" applyFont="1" applyFill="1" applyBorder="1" applyAlignment="1" applyProtection="1">
      <alignment horizontal="center" vertical="center" wrapText="1"/>
      <protection hidden="1"/>
    </xf>
    <xf numFmtId="0" fontId="44" fillId="17" borderId="71" xfId="0" applyFont="1" applyFill="1" applyBorder="1" applyAlignment="1" applyProtection="1">
      <alignment horizontal="center" vertical="center" wrapText="1"/>
      <protection hidden="1"/>
    </xf>
    <xf numFmtId="0" fontId="69" fillId="43" borderId="0" xfId="0" applyFont="1" applyFill="1" applyAlignment="1" applyProtection="1">
      <alignment horizontal="center" vertical="center"/>
      <protection hidden="1"/>
    </xf>
    <xf numFmtId="2" fontId="69" fillId="43" borderId="0" xfId="0" applyNumberFormat="1" applyFont="1" applyFill="1" applyAlignment="1" applyProtection="1">
      <alignment horizontal="center" vertical="center"/>
      <protection hidden="1"/>
    </xf>
    <xf numFmtId="0" fontId="47" fillId="0" borderId="0" xfId="0" applyFont="1" applyAlignment="1" applyProtection="1">
      <alignment horizontal="center" vertical="center"/>
      <protection hidden="1"/>
    </xf>
    <xf numFmtId="172" fontId="69" fillId="43" borderId="0" xfId="0" applyNumberFormat="1" applyFont="1" applyFill="1" applyAlignment="1" applyProtection="1">
      <alignment horizontal="center" vertical="center"/>
      <protection hidden="1"/>
    </xf>
    <xf numFmtId="0" fontId="15" fillId="15" borderId="7" xfId="0" applyFont="1" applyFill="1" applyBorder="1" applyAlignment="1" applyProtection="1">
      <alignment horizontal="right" vertical="center"/>
      <protection hidden="1"/>
    </xf>
    <xf numFmtId="0" fontId="39" fillId="17" borderId="37" xfId="0" applyFont="1" applyFill="1" applyBorder="1" applyAlignment="1" applyProtection="1">
      <alignment horizontal="right" vertical="center"/>
      <protection hidden="1"/>
    </xf>
    <xf numFmtId="0" fontId="39" fillId="17" borderId="45" xfId="0" applyFont="1" applyFill="1" applyBorder="1" applyAlignment="1" applyProtection="1">
      <alignment horizontal="right" vertical="center"/>
      <protection hidden="1"/>
    </xf>
    <xf numFmtId="0" fontId="17" fillId="24" borderId="3" xfId="0" applyFont="1" applyFill="1" applyBorder="1" applyAlignment="1" applyProtection="1">
      <alignment horizontal="right" vertical="center" wrapText="1"/>
      <protection hidden="1"/>
    </xf>
    <xf numFmtId="0" fontId="17" fillId="24" borderId="11" xfId="0" applyFont="1" applyFill="1" applyBorder="1" applyAlignment="1" applyProtection="1">
      <alignment horizontal="right" vertical="center" wrapText="1"/>
      <protection hidden="1"/>
    </xf>
    <xf numFmtId="0" fontId="16" fillId="17" borderId="19" xfId="0" applyFont="1" applyFill="1" applyBorder="1" applyAlignment="1" applyProtection="1">
      <alignment horizontal="right" vertical="center" wrapText="1"/>
      <protection hidden="1"/>
    </xf>
    <xf numFmtId="0" fontId="16" fillId="17" borderId="53" xfId="0" applyFont="1" applyFill="1" applyBorder="1" applyAlignment="1" applyProtection="1">
      <alignment horizontal="right" vertical="center" wrapText="1"/>
      <protection hidden="1"/>
    </xf>
    <xf numFmtId="166" fontId="16" fillId="17" borderId="53" xfId="0" applyNumberFormat="1" applyFont="1" applyFill="1" applyBorder="1" applyAlignment="1" applyProtection="1">
      <alignment horizontal="left" vertical="center" wrapText="1"/>
      <protection hidden="1"/>
    </xf>
    <xf numFmtId="0" fontId="16" fillId="17" borderId="53" xfId="0" applyFont="1" applyFill="1" applyBorder="1" applyAlignment="1" applyProtection="1">
      <alignment vertical="center"/>
      <protection hidden="1"/>
    </xf>
    <xf numFmtId="166" fontId="23" fillId="28" borderId="3" xfId="0" applyNumberFormat="1" applyFont="1" applyFill="1" applyBorder="1" applyAlignment="1" applyProtection="1">
      <alignment horizontal="left" vertical="center" wrapText="1" readingOrder="2"/>
      <protection hidden="1"/>
    </xf>
    <xf numFmtId="166" fontId="16" fillId="17" borderId="19" xfId="0" applyNumberFormat="1" applyFont="1" applyFill="1" applyBorder="1" applyAlignment="1" applyProtection="1">
      <alignment horizontal="left" vertical="center" wrapText="1" readingOrder="2"/>
      <protection hidden="1"/>
    </xf>
    <xf numFmtId="0" fontId="0" fillId="0" borderId="134" xfId="0" applyBorder="1"/>
    <xf numFmtId="0" fontId="0" fillId="0" borderId="135" xfId="0" applyBorder="1"/>
    <xf numFmtId="0" fontId="57" fillId="44" borderId="136" xfId="0" applyFont="1" applyFill="1" applyBorder="1"/>
    <xf numFmtId="0" fontId="0" fillId="0" borderId="134" xfId="0" applyBorder="1" applyAlignment="1">
      <alignment horizontal="right"/>
    </xf>
    <xf numFmtId="166" fontId="31" fillId="21" borderId="3" xfId="0" applyNumberFormat="1" applyFont="1" applyFill="1" applyBorder="1" applyAlignment="1" applyProtection="1">
      <alignment horizontal="right" vertical="center" readingOrder="2"/>
      <protection locked="0" hidden="1"/>
    </xf>
    <xf numFmtId="166" fontId="31" fillId="21" borderId="11" xfId="0" applyNumberFormat="1" applyFont="1" applyFill="1" applyBorder="1" applyAlignment="1" applyProtection="1">
      <alignment horizontal="right" vertical="center" readingOrder="2"/>
      <protection locked="0" hidden="1"/>
    </xf>
    <xf numFmtId="166" fontId="16" fillId="17" borderId="19" xfId="0" applyNumberFormat="1" applyFont="1" applyFill="1" applyBorder="1" applyAlignment="1" applyProtection="1">
      <alignment horizontal="right" vertical="center" readingOrder="2"/>
      <protection hidden="1"/>
    </xf>
    <xf numFmtId="0" fontId="0" fillId="0" borderId="0" xfId="0" applyProtection="1">
      <protection locked="0" hidden="1"/>
    </xf>
    <xf numFmtId="0" fontId="66" fillId="23" borderId="0" xfId="0" applyFont="1" applyFill="1" applyAlignment="1" applyProtection="1">
      <alignment horizontal="center" vertical="center"/>
      <protection hidden="1"/>
    </xf>
    <xf numFmtId="0" fontId="15" fillId="15" borderId="0" xfId="0" applyFont="1" applyFill="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23" borderId="0" xfId="0" applyFill="1" applyAlignment="1" applyProtection="1">
      <alignment horizontal="center" vertical="center"/>
      <protection hidden="1"/>
    </xf>
    <xf numFmtId="0" fontId="80" fillId="24" borderId="3" xfId="0" applyFont="1" applyFill="1" applyBorder="1" applyAlignment="1" applyProtection="1">
      <alignment horizontal="right" vertical="center"/>
      <protection locked="0" hidden="1"/>
    </xf>
    <xf numFmtId="0" fontId="0" fillId="45" borderId="0" xfId="0" applyFill="1" applyProtection="1">
      <protection hidden="1"/>
    </xf>
    <xf numFmtId="0" fontId="16" fillId="16" borderId="137" xfId="0" applyFont="1" applyFill="1" applyBorder="1" applyAlignment="1" applyProtection="1">
      <alignment horizontal="center" vertical="center" wrapText="1"/>
      <protection hidden="1"/>
    </xf>
    <xf numFmtId="0" fontId="16" fillId="16" borderId="138" xfId="0" applyFont="1" applyFill="1" applyBorder="1" applyAlignment="1" applyProtection="1">
      <alignment horizontal="center" vertical="center" wrapText="1"/>
      <protection hidden="1"/>
    </xf>
    <xf numFmtId="0" fontId="16" fillId="16" borderId="139" xfId="0" applyFont="1" applyFill="1" applyBorder="1" applyAlignment="1" applyProtection="1">
      <alignment horizontal="center" vertical="center" wrapText="1"/>
      <protection hidden="1"/>
    </xf>
    <xf numFmtId="0" fontId="16" fillId="16" borderId="140" xfId="0" applyFont="1" applyFill="1" applyBorder="1" applyAlignment="1" applyProtection="1">
      <alignment horizontal="center" vertical="center" wrapText="1"/>
      <protection hidden="1"/>
    </xf>
    <xf numFmtId="0" fontId="16" fillId="16" borderId="124" xfId="0" applyFont="1" applyFill="1" applyBorder="1" applyAlignment="1" applyProtection="1">
      <alignment horizontal="center" vertical="center" wrapText="1"/>
      <protection hidden="1"/>
    </xf>
    <xf numFmtId="0" fontId="16" fillId="16" borderId="141" xfId="0" applyFont="1" applyFill="1" applyBorder="1" applyAlignment="1" applyProtection="1">
      <alignment horizontal="center" vertical="center" wrapText="1"/>
      <protection hidden="1"/>
    </xf>
    <xf numFmtId="0" fontId="23" fillId="28" borderId="142" xfId="0" applyFont="1" applyFill="1" applyBorder="1" applyAlignment="1" applyProtection="1">
      <alignment horizontal="center" vertical="center"/>
      <protection hidden="1"/>
    </xf>
    <xf numFmtId="0" fontId="23" fillId="28" borderId="143" xfId="0" applyFont="1" applyFill="1" applyBorder="1" applyAlignment="1" applyProtection="1">
      <alignment horizontal="right" vertical="center"/>
      <protection hidden="1"/>
    </xf>
    <xf numFmtId="166" fontId="23" fillId="28" borderId="143" xfId="0" applyNumberFormat="1" applyFont="1" applyFill="1" applyBorder="1" applyAlignment="1" applyProtection="1">
      <alignment horizontal="center" vertical="center" readingOrder="2"/>
      <protection hidden="1"/>
    </xf>
    <xf numFmtId="166" fontId="23" fillId="28" borderId="144" xfId="0" applyNumberFormat="1" applyFont="1" applyFill="1" applyBorder="1" applyAlignment="1" applyProtection="1">
      <alignment horizontal="center" vertical="center" readingOrder="2"/>
      <protection hidden="1"/>
    </xf>
    <xf numFmtId="166" fontId="23" fillId="28" borderId="145" xfId="0" applyNumberFormat="1" applyFont="1" applyFill="1" applyBorder="1" applyAlignment="1" applyProtection="1">
      <alignment horizontal="center" vertical="center" readingOrder="2"/>
      <protection hidden="1"/>
    </xf>
    <xf numFmtId="166" fontId="23" fillId="28" borderId="146" xfId="0" applyNumberFormat="1" applyFont="1" applyFill="1" applyBorder="1" applyAlignment="1" applyProtection="1">
      <alignment horizontal="center" vertical="center" readingOrder="2"/>
      <protection hidden="1"/>
    </xf>
    <xf numFmtId="166" fontId="23" fillId="28" borderId="147" xfId="0" applyNumberFormat="1" applyFont="1" applyFill="1" applyBorder="1" applyAlignment="1" applyProtection="1">
      <alignment horizontal="center" vertical="center" readingOrder="2"/>
      <protection hidden="1"/>
    </xf>
    <xf numFmtId="0" fontId="81" fillId="45" borderId="0" xfId="0" applyFont="1" applyFill="1" applyAlignment="1" applyProtection="1">
      <alignment horizontal="right" readingOrder="1"/>
      <protection hidden="1"/>
    </xf>
    <xf numFmtId="166" fontId="16" fillId="17" borderId="2" xfId="0" applyNumberFormat="1" applyFont="1" applyFill="1" applyBorder="1" applyAlignment="1" applyProtection="1">
      <alignment horizontal="center" vertical="center" wrapText="1" readingOrder="2"/>
      <protection hidden="1"/>
    </xf>
    <xf numFmtId="166" fontId="17" fillId="21" borderId="3" xfId="0" applyNumberFormat="1" applyFont="1" applyFill="1" applyBorder="1" applyAlignment="1" applyProtection="1">
      <alignment horizontal="left" vertical="center" wrapText="1" readingOrder="2"/>
      <protection locked="0" hidden="1"/>
    </xf>
    <xf numFmtId="166" fontId="17" fillId="21" borderId="11" xfId="0" applyNumberFormat="1" applyFont="1" applyFill="1" applyBorder="1" applyAlignment="1" applyProtection="1">
      <alignment horizontal="left" vertical="center" wrapText="1" readingOrder="2"/>
      <protection locked="0" hidden="1"/>
    </xf>
    <xf numFmtId="164" fontId="16" fillId="17" borderId="2" xfId="0" applyNumberFormat="1" applyFont="1" applyFill="1" applyBorder="1" applyAlignment="1" applyProtection="1">
      <alignment horizontal="center" vertical="center" wrapText="1"/>
      <protection hidden="1"/>
    </xf>
    <xf numFmtId="49" fontId="16" fillId="17" borderId="2" xfId="0" applyNumberFormat="1" applyFont="1" applyFill="1" applyBorder="1" applyAlignment="1" applyProtection="1">
      <alignment horizontal="center" vertical="center" wrapText="1"/>
      <protection hidden="1"/>
    </xf>
    <xf numFmtId="166" fontId="16" fillId="17" borderId="2" xfId="0" applyNumberFormat="1" applyFont="1" applyFill="1" applyBorder="1" applyAlignment="1" applyProtection="1">
      <alignment horizontal="left" vertical="center" wrapText="1" readingOrder="2"/>
      <protection hidden="1"/>
    </xf>
    <xf numFmtId="49" fontId="17" fillId="46" borderId="149" xfId="0" applyNumberFormat="1" applyFont="1" applyFill="1" applyBorder="1" applyAlignment="1" applyProtection="1">
      <alignment horizontal="center" vertical="center" wrapText="1"/>
      <protection locked="0"/>
    </xf>
    <xf numFmtId="0" fontId="1" fillId="2" borderId="0" xfId="0" applyFont="1" applyFill="1" applyAlignment="1">
      <alignment horizontal="right" vertical="center" wrapText="1"/>
    </xf>
    <xf numFmtId="14" fontId="2" fillId="10" borderId="3" xfId="0" applyNumberFormat="1" applyFont="1" applyFill="1" applyBorder="1" applyAlignment="1" applyProtection="1">
      <alignment horizontal="center" vertical="center" wrapText="1"/>
      <protection locked="0" hidden="1"/>
    </xf>
    <xf numFmtId="14" fontId="9" fillId="9" borderId="2" xfId="0" applyNumberFormat="1" applyFont="1" applyFill="1" applyBorder="1" applyAlignment="1" applyProtection="1">
      <alignment horizontal="center" vertical="center" wrapText="1"/>
      <protection hidden="1"/>
    </xf>
    <xf numFmtId="166" fontId="82" fillId="47" borderId="19" xfId="0" applyNumberFormat="1" applyFont="1" applyFill="1" applyBorder="1" applyAlignment="1" applyProtection="1">
      <alignment horizontal="center" vertical="center"/>
      <protection hidden="1"/>
    </xf>
    <xf numFmtId="0" fontId="3" fillId="47" borderId="148" xfId="0" applyFont="1" applyFill="1" applyBorder="1" applyAlignment="1" applyProtection="1">
      <alignment horizontal="center" vertical="center"/>
      <protection hidden="1"/>
    </xf>
    <xf numFmtId="166" fontId="2" fillId="10" borderId="3" xfId="0" applyNumberFormat="1" applyFont="1" applyFill="1" applyBorder="1" applyAlignment="1" applyProtection="1">
      <alignment horizontal="left" vertical="center" wrapText="1" readingOrder="2"/>
      <protection locked="0" hidden="1"/>
    </xf>
    <xf numFmtId="166" fontId="9" fillId="9" borderId="2" xfId="0" applyNumberFormat="1" applyFont="1" applyFill="1" applyBorder="1" applyAlignment="1" applyProtection="1">
      <alignment horizontal="left" vertical="center" wrapText="1" readingOrder="2"/>
      <protection hidden="1"/>
    </xf>
    <xf numFmtId="49" fontId="83" fillId="10" borderId="3" xfId="0" applyNumberFormat="1" applyFont="1" applyFill="1" applyBorder="1" applyAlignment="1" applyProtection="1">
      <alignment horizontal="center" vertical="center" wrapText="1"/>
      <protection locked="0" hidden="1"/>
    </xf>
    <xf numFmtId="0" fontId="3" fillId="47" borderId="152" xfId="0" applyFont="1" applyFill="1" applyBorder="1" applyAlignment="1" applyProtection="1">
      <alignment horizontal="center" vertical="center"/>
      <protection hidden="1"/>
    </xf>
    <xf numFmtId="166" fontId="40" fillId="13" borderId="81" xfId="0" applyNumberFormat="1" applyFont="1" applyFill="1" applyBorder="1" applyAlignment="1" applyProtection="1">
      <alignment horizontal="center" vertical="center" wrapText="1" readingOrder="2"/>
      <protection hidden="1"/>
    </xf>
    <xf numFmtId="166" fontId="16" fillId="17" borderId="53" xfId="0" applyNumberFormat="1" applyFont="1" applyFill="1" applyBorder="1" applyAlignment="1" applyProtection="1">
      <alignment horizontal="center" vertical="center" wrapText="1" readingOrder="2"/>
      <protection hidden="1"/>
    </xf>
    <xf numFmtId="166" fontId="46" fillId="13" borderId="29" xfId="0" applyNumberFormat="1" applyFont="1" applyFill="1" applyBorder="1" applyAlignment="1" applyProtection="1">
      <alignment horizontal="center" vertical="center" readingOrder="2"/>
      <protection hidden="1"/>
    </xf>
    <xf numFmtId="166" fontId="41" fillId="29" borderId="29" xfId="0" applyNumberFormat="1" applyFont="1" applyFill="1" applyBorder="1" applyAlignment="1" applyProtection="1">
      <alignment horizontal="center" vertical="center" readingOrder="2"/>
      <protection hidden="1"/>
    </xf>
    <xf numFmtId="166" fontId="21" fillId="24" borderId="57" xfId="0" applyNumberFormat="1" applyFont="1" applyFill="1" applyBorder="1" applyAlignment="1" applyProtection="1">
      <alignment horizontal="center" vertical="center" readingOrder="2"/>
      <protection hidden="1"/>
    </xf>
    <xf numFmtId="166" fontId="21" fillId="24" borderId="58" xfId="0" applyNumberFormat="1" applyFont="1" applyFill="1" applyBorder="1" applyAlignment="1" applyProtection="1">
      <alignment horizontal="center" vertical="center" readingOrder="2"/>
      <protection hidden="1"/>
    </xf>
    <xf numFmtId="171" fontId="41" fillId="29" borderId="76" xfId="0" applyNumberFormat="1" applyFont="1" applyFill="1" applyBorder="1" applyAlignment="1" applyProtection="1">
      <alignment horizontal="center" vertical="center" readingOrder="2"/>
      <protection hidden="1"/>
    </xf>
    <xf numFmtId="166" fontId="16" fillId="29" borderId="60" xfId="0" applyNumberFormat="1" applyFont="1" applyFill="1" applyBorder="1" applyAlignment="1" applyProtection="1">
      <alignment horizontal="center" vertical="center" wrapText="1" readingOrder="2"/>
      <protection hidden="1"/>
    </xf>
    <xf numFmtId="166" fontId="49" fillId="13" borderId="60" xfId="0" applyNumberFormat="1" applyFont="1" applyFill="1" applyBorder="1" applyAlignment="1" applyProtection="1">
      <alignment horizontal="center" vertical="center" wrapText="1" readingOrder="2"/>
      <protection hidden="1"/>
    </xf>
    <xf numFmtId="167" fontId="16" fillId="29" borderId="60" xfId="0" applyNumberFormat="1" applyFont="1" applyFill="1" applyBorder="1" applyAlignment="1" applyProtection="1">
      <alignment horizontal="center" vertical="center" wrapText="1" readingOrder="2"/>
      <protection hidden="1"/>
    </xf>
    <xf numFmtId="170" fontId="46" fillId="13" borderId="29" xfId="0" applyNumberFormat="1" applyFont="1" applyFill="1" applyBorder="1" applyAlignment="1" applyProtection="1">
      <alignment horizontal="center" vertical="center" readingOrder="2"/>
      <protection hidden="1"/>
    </xf>
    <xf numFmtId="171" fontId="41" fillId="29" borderId="29" xfId="0" applyNumberFormat="1" applyFont="1" applyFill="1" applyBorder="1" applyAlignment="1" applyProtection="1">
      <alignment horizontal="center" vertical="center" readingOrder="2"/>
      <protection hidden="1"/>
    </xf>
    <xf numFmtId="166" fontId="52" fillId="33" borderId="76" xfId="0" applyNumberFormat="1" applyFont="1" applyFill="1" applyBorder="1" applyAlignment="1" applyProtection="1">
      <alignment horizontal="center" vertical="center" readingOrder="2"/>
      <protection hidden="1"/>
    </xf>
    <xf numFmtId="0" fontId="13" fillId="29" borderId="28" xfId="0" applyFont="1" applyFill="1" applyBorder="1" applyAlignment="1" applyProtection="1">
      <alignment horizontal="center" vertical="center" wrapText="1" readingOrder="2"/>
      <protection hidden="1"/>
    </xf>
    <xf numFmtId="0" fontId="13" fillId="29" borderId="75" xfId="0" applyFont="1" applyFill="1" applyBorder="1" applyAlignment="1" applyProtection="1">
      <alignment horizontal="center" vertical="center" wrapText="1" readingOrder="2"/>
      <protection hidden="1"/>
    </xf>
    <xf numFmtId="167" fontId="41" fillId="29" borderId="29" xfId="0" applyNumberFormat="1" applyFont="1" applyFill="1" applyBorder="1" applyAlignment="1" applyProtection="1">
      <alignment horizontal="center" vertical="center" readingOrder="2"/>
      <protection hidden="1"/>
    </xf>
    <xf numFmtId="166" fontId="41" fillId="29" borderId="76" xfId="0" applyNumberFormat="1" applyFont="1" applyFill="1" applyBorder="1" applyAlignment="1" applyProtection="1">
      <alignment horizontal="center" vertical="center" readingOrder="2"/>
      <protection hidden="1"/>
    </xf>
    <xf numFmtId="0" fontId="65" fillId="0" borderId="153" xfId="0" applyFont="1" applyBorder="1" applyAlignment="1" applyProtection="1">
      <alignment vertical="center"/>
      <protection hidden="1"/>
    </xf>
    <xf numFmtId="0" fontId="18" fillId="24" borderId="59" xfId="0" applyFont="1" applyFill="1" applyBorder="1" applyAlignment="1" applyProtection="1">
      <alignment horizontal="right" vertical="center"/>
      <protection hidden="1"/>
    </xf>
    <xf numFmtId="0" fontId="18" fillId="24" borderId="63" xfId="0" applyFont="1" applyFill="1" applyBorder="1" applyAlignment="1" applyProtection="1">
      <alignment horizontal="right" vertical="center"/>
      <protection hidden="1"/>
    </xf>
    <xf numFmtId="0" fontId="66" fillId="23" borderId="6" xfId="0" applyFont="1" applyFill="1" applyBorder="1" applyAlignment="1" applyProtection="1">
      <alignment horizontal="right" vertical="center" readingOrder="2"/>
      <protection hidden="1"/>
    </xf>
    <xf numFmtId="0" fontId="84" fillId="11" borderId="0" xfId="0" applyFont="1" applyFill="1" applyAlignment="1" applyProtection="1">
      <alignment vertical="center" readingOrder="2"/>
      <protection hidden="1"/>
    </xf>
    <xf numFmtId="0" fontId="86" fillId="11" borderId="0" xfId="0" applyFont="1" applyFill="1" applyAlignment="1" applyProtection="1">
      <alignment vertical="center" readingOrder="2"/>
      <protection hidden="1"/>
    </xf>
    <xf numFmtId="0" fontId="85" fillId="11" borderId="0" xfId="0" applyFont="1" applyFill="1" applyAlignment="1" applyProtection="1">
      <alignment vertical="center" readingOrder="2"/>
      <protection hidden="1"/>
    </xf>
    <xf numFmtId="0" fontId="85" fillId="11" borderId="0" xfId="0" applyFont="1" applyFill="1" applyAlignment="1" applyProtection="1">
      <alignment horizontal="center" vertical="center" readingOrder="2"/>
      <protection hidden="1"/>
    </xf>
    <xf numFmtId="0" fontId="85" fillId="19" borderId="0" xfId="0" applyFont="1" applyFill="1" applyAlignment="1" applyProtection="1">
      <alignment vertical="center" readingOrder="2"/>
      <protection hidden="1"/>
    </xf>
    <xf numFmtId="0" fontId="85" fillId="11" borderId="0" xfId="0" applyFont="1" applyFill="1" applyAlignment="1" applyProtection="1">
      <alignment horizontal="right" vertical="center" wrapText="1" readingOrder="2"/>
      <protection hidden="1"/>
    </xf>
    <xf numFmtId="0" fontId="84" fillId="11" borderId="0" xfId="0" applyFont="1" applyFill="1" applyAlignment="1" applyProtection="1">
      <alignment horizontal="center" vertical="center" readingOrder="2"/>
      <protection hidden="1"/>
    </xf>
    <xf numFmtId="0" fontId="84" fillId="19" borderId="0" xfId="0" applyFont="1" applyFill="1" applyAlignment="1" applyProtection="1">
      <alignment vertical="center" readingOrder="2"/>
      <protection hidden="1"/>
    </xf>
    <xf numFmtId="0" fontId="42" fillId="16" borderId="122" xfId="0" applyFont="1" applyFill="1" applyBorder="1" applyAlignment="1" applyProtection="1">
      <alignment horizontal="center" vertical="center" wrapText="1"/>
      <protection hidden="1"/>
    </xf>
    <xf numFmtId="0" fontId="42" fillId="16" borderId="122" xfId="0" applyFont="1" applyFill="1" applyBorder="1" applyAlignment="1" applyProtection="1">
      <alignment horizontal="center" vertical="center" wrapText="1" readingOrder="2"/>
      <protection hidden="1"/>
    </xf>
    <xf numFmtId="0" fontId="42" fillId="16" borderId="123" xfId="0" applyFont="1" applyFill="1" applyBorder="1" applyAlignment="1" applyProtection="1">
      <alignment horizontal="center" vertical="center" wrapText="1"/>
      <protection hidden="1"/>
    </xf>
    <xf numFmtId="166" fontId="31" fillId="21" borderId="3" xfId="0" applyNumberFormat="1" applyFont="1" applyFill="1" applyBorder="1" applyAlignment="1" applyProtection="1">
      <alignment horizontal="center" vertical="center" readingOrder="2"/>
      <protection locked="0" hidden="1"/>
    </xf>
    <xf numFmtId="0" fontId="38" fillId="30" borderId="72" xfId="0" applyFont="1" applyFill="1" applyBorder="1" applyAlignment="1" applyProtection="1">
      <alignment horizontal="right" vertical="center" readingOrder="2"/>
      <protection hidden="1"/>
    </xf>
    <xf numFmtId="0" fontId="67" fillId="13" borderId="28" xfId="0" applyFont="1" applyFill="1" applyBorder="1" applyAlignment="1" applyProtection="1">
      <alignment horizontal="center" vertical="center" wrapText="1" readingOrder="2"/>
      <protection hidden="1"/>
    </xf>
    <xf numFmtId="0" fontId="67" fillId="13" borderId="75" xfId="0" applyFont="1" applyFill="1" applyBorder="1" applyAlignment="1" applyProtection="1">
      <alignment horizontal="center" vertical="center" wrapText="1" readingOrder="2"/>
      <protection hidden="1"/>
    </xf>
    <xf numFmtId="166" fontId="42" fillId="29" borderId="29" xfId="0" applyNumberFormat="1" applyFont="1" applyFill="1" applyBorder="1" applyAlignment="1" applyProtection="1">
      <alignment horizontal="center" vertical="center" readingOrder="2"/>
      <protection hidden="1"/>
    </xf>
    <xf numFmtId="170" fontId="43" fillId="13" borderId="29" xfId="0" applyNumberFormat="1" applyFont="1" applyFill="1" applyBorder="1" applyAlignment="1" applyProtection="1">
      <alignment horizontal="center" vertical="center" readingOrder="2"/>
      <protection hidden="1"/>
    </xf>
    <xf numFmtId="49" fontId="43" fillId="13" borderId="76" xfId="0" applyNumberFormat="1" applyFont="1" applyFill="1" applyBorder="1" applyAlignment="1" applyProtection="1">
      <alignment horizontal="center" vertical="center" readingOrder="2"/>
      <protection hidden="1"/>
    </xf>
    <xf numFmtId="0" fontId="39" fillId="17" borderId="39" xfId="0" applyFont="1" applyFill="1" applyBorder="1" applyAlignment="1" applyProtection="1">
      <alignment horizontal="right" vertical="center" readingOrder="2"/>
      <protection hidden="1"/>
    </xf>
    <xf numFmtId="0" fontId="40" fillId="13" borderId="82" xfId="0" applyFont="1" applyFill="1" applyBorder="1" applyAlignment="1" applyProtection="1">
      <alignment horizontal="right" vertical="center" wrapText="1" readingOrder="2"/>
      <protection hidden="1"/>
    </xf>
    <xf numFmtId="0" fontId="67" fillId="13" borderId="54" xfId="0" applyFont="1" applyFill="1" applyBorder="1" applyAlignment="1" applyProtection="1">
      <alignment horizontal="right" vertical="center" readingOrder="2"/>
      <protection hidden="1"/>
    </xf>
    <xf numFmtId="0" fontId="67" fillId="13" borderId="56" xfId="0" applyFont="1" applyFill="1" applyBorder="1" applyAlignment="1" applyProtection="1">
      <alignment horizontal="right" vertical="center" readingOrder="2"/>
      <protection hidden="1"/>
    </xf>
    <xf numFmtId="0" fontId="0" fillId="0" borderId="0" xfId="0" applyAlignment="1" applyProtection="1">
      <alignment horizontal="center" vertical="center" readingOrder="2"/>
      <protection hidden="1"/>
    </xf>
    <xf numFmtId="0" fontId="51" fillId="32" borderId="86" xfId="0" applyFont="1" applyFill="1" applyBorder="1" applyAlignment="1" applyProtection="1">
      <alignment horizontal="right" vertical="center" readingOrder="2"/>
      <protection hidden="1"/>
    </xf>
    <xf numFmtId="0" fontId="0" fillId="0" borderId="0" xfId="0" applyAlignment="1" applyProtection="1">
      <alignment horizontal="right" readingOrder="2"/>
      <protection hidden="1"/>
    </xf>
    <xf numFmtId="0" fontId="51" fillId="32" borderId="84" xfId="0" applyFont="1" applyFill="1" applyBorder="1" applyAlignment="1" applyProtection="1">
      <alignment horizontal="center" vertical="center" readingOrder="2"/>
      <protection hidden="1"/>
    </xf>
    <xf numFmtId="0" fontId="51" fillId="32" borderId="85" xfId="0" applyFont="1" applyFill="1" applyBorder="1" applyAlignment="1" applyProtection="1">
      <alignment horizontal="center" vertical="center" readingOrder="2"/>
      <protection hidden="1"/>
    </xf>
    <xf numFmtId="0" fontId="39" fillId="17" borderId="70" xfId="0" applyFont="1" applyFill="1" applyBorder="1" applyAlignment="1" applyProtection="1">
      <alignment horizontal="right" vertical="center" readingOrder="2"/>
      <protection hidden="1"/>
    </xf>
    <xf numFmtId="166" fontId="31" fillId="21" borderId="3" xfId="0" applyNumberFormat="1" applyFont="1" applyFill="1" applyBorder="1" applyAlignment="1" applyProtection="1">
      <alignment horizontal="left" vertical="center" wrapText="1" readingOrder="2"/>
      <protection locked="0"/>
    </xf>
    <xf numFmtId="166" fontId="31" fillId="21" borderId="11" xfId="0" applyNumberFormat="1" applyFont="1" applyFill="1" applyBorder="1" applyAlignment="1" applyProtection="1">
      <alignment horizontal="left" vertical="center" wrapText="1" readingOrder="2"/>
      <protection locked="0"/>
    </xf>
    <xf numFmtId="0" fontId="67" fillId="13" borderId="80" xfId="0" applyFont="1" applyFill="1" applyBorder="1" applyAlignment="1" applyProtection="1">
      <alignment horizontal="right" vertical="center"/>
      <protection hidden="1"/>
    </xf>
    <xf numFmtId="171" fontId="21" fillId="24" borderId="57" xfId="0" applyNumberFormat="1" applyFont="1" applyFill="1" applyBorder="1" applyAlignment="1" applyProtection="1">
      <alignment horizontal="center" vertical="center" readingOrder="2"/>
      <protection hidden="1"/>
    </xf>
    <xf numFmtId="166" fontId="17" fillId="16" borderId="3" xfId="0" applyNumberFormat="1" applyFont="1" applyFill="1" applyBorder="1" applyAlignment="1" applyProtection="1">
      <alignment horizontal="right" vertical="center" readingOrder="2"/>
      <protection hidden="1"/>
    </xf>
    <xf numFmtId="166" fontId="17" fillId="16" borderId="11" xfId="0" applyNumberFormat="1" applyFont="1" applyFill="1" applyBorder="1" applyAlignment="1" applyProtection="1">
      <alignment horizontal="right" vertical="center" readingOrder="2"/>
      <protection hidden="1"/>
    </xf>
    <xf numFmtId="0" fontId="25" fillId="17" borderId="2" xfId="0" applyFont="1" applyFill="1" applyBorder="1" applyAlignment="1" applyProtection="1">
      <alignment horizontal="right" vertical="center" readingOrder="2"/>
      <protection hidden="1"/>
    </xf>
    <xf numFmtId="166" fontId="96" fillId="16" borderId="11" xfId="0" applyNumberFormat="1" applyFont="1" applyFill="1" applyBorder="1" applyAlignment="1" applyProtection="1">
      <alignment horizontal="right" vertical="center" readingOrder="2"/>
      <protection hidden="1"/>
    </xf>
    <xf numFmtId="0" fontId="97" fillId="0" borderId="0" xfId="0" applyFont="1" applyProtection="1">
      <protection hidden="1"/>
    </xf>
    <xf numFmtId="0" fontId="0" fillId="0" borderId="157" xfId="0" applyBorder="1" applyProtection="1">
      <protection hidden="1"/>
    </xf>
    <xf numFmtId="0" fontId="91" fillId="18" borderId="158" xfId="1" applyFont="1" applyFill="1" applyBorder="1" applyAlignment="1" applyProtection="1">
      <alignment horizontal="center" vertical="center"/>
      <protection locked="0"/>
    </xf>
    <xf numFmtId="0" fontId="94" fillId="34" borderId="158" xfId="1" applyFont="1" applyFill="1" applyBorder="1" applyAlignment="1" applyProtection="1">
      <alignment horizontal="center" vertical="center"/>
      <protection locked="0"/>
    </xf>
    <xf numFmtId="0" fontId="95" fillId="48" borderId="158" xfId="1" applyFont="1" applyFill="1" applyBorder="1" applyAlignment="1" applyProtection="1">
      <alignment horizontal="center" vertical="center"/>
      <protection locked="0"/>
    </xf>
    <xf numFmtId="0" fontId="92" fillId="18" borderId="158" xfId="1" applyFont="1" applyFill="1" applyBorder="1" applyAlignment="1" applyProtection="1">
      <alignment horizontal="center" vertical="center"/>
      <protection locked="0"/>
    </xf>
    <xf numFmtId="0" fontId="93" fillId="34" borderId="158" xfId="1" applyFont="1" applyFill="1" applyBorder="1" applyAlignment="1" applyProtection="1">
      <alignment horizontal="center" vertical="center"/>
      <protection locked="0"/>
    </xf>
    <xf numFmtId="0" fontId="67" fillId="24" borderId="65" xfId="0" applyFont="1" applyFill="1" applyBorder="1" applyAlignment="1" applyProtection="1">
      <alignment horizontal="right" vertical="center" wrapText="1" readingOrder="2"/>
      <protection hidden="1"/>
    </xf>
    <xf numFmtId="0" fontId="67" fillId="13" borderId="65" xfId="0" applyFont="1" applyFill="1" applyBorder="1" applyAlignment="1" applyProtection="1">
      <alignment horizontal="right" vertical="center" wrapText="1" readingOrder="2"/>
      <protection hidden="1"/>
    </xf>
    <xf numFmtId="0" fontId="67" fillId="24" borderId="61" xfId="0" applyFont="1" applyFill="1" applyBorder="1" applyAlignment="1" applyProtection="1">
      <alignment horizontal="right" vertical="center" wrapText="1" readingOrder="2"/>
      <protection hidden="1"/>
    </xf>
    <xf numFmtId="0" fontId="99" fillId="34" borderId="158" xfId="1" applyFont="1" applyFill="1" applyBorder="1" applyAlignment="1" applyProtection="1">
      <alignment horizontal="center" vertical="center"/>
      <protection locked="0"/>
    </xf>
    <xf numFmtId="0" fontId="101" fillId="34" borderId="158" xfId="1" applyFont="1" applyFill="1" applyBorder="1" applyAlignment="1" applyProtection="1">
      <alignment horizontal="center" vertical="center"/>
      <protection locked="0"/>
    </xf>
    <xf numFmtId="0" fontId="101" fillId="48" borderId="158" xfId="1" applyFont="1" applyFill="1" applyBorder="1" applyAlignment="1" applyProtection="1">
      <alignment horizontal="center" vertical="center"/>
      <protection locked="0"/>
    </xf>
    <xf numFmtId="0" fontId="28" fillId="0" borderId="0" xfId="0" applyFont="1" applyAlignment="1">
      <alignment horizontal="center" vertical="center"/>
    </xf>
    <xf numFmtId="0" fontId="19" fillId="18" borderId="49" xfId="1" applyFont="1" applyFill="1" applyBorder="1" applyAlignment="1">
      <alignment horizontal="center" vertical="center"/>
    </xf>
    <xf numFmtId="0" fontId="56" fillId="18" borderId="13" xfId="0" applyFont="1" applyFill="1" applyBorder="1" applyAlignment="1">
      <alignment horizontal="center" vertical="center"/>
    </xf>
    <xf numFmtId="0" fontId="56" fillId="18" borderId="50" xfId="0" applyFont="1" applyFill="1" applyBorder="1" applyAlignment="1">
      <alignment horizontal="center" vertical="center"/>
    </xf>
    <xf numFmtId="0" fontId="19" fillId="18" borderId="15" xfId="1" applyFont="1" applyFill="1" applyBorder="1" applyAlignment="1">
      <alignment horizontal="center" vertical="center"/>
    </xf>
    <xf numFmtId="0" fontId="56" fillId="18" borderId="14" xfId="0" applyFont="1" applyFill="1" applyBorder="1" applyAlignment="1">
      <alignment horizontal="center" vertical="center"/>
    </xf>
    <xf numFmtId="0" fontId="56" fillId="18" borderId="17" xfId="0" applyFont="1" applyFill="1" applyBorder="1" applyAlignment="1">
      <alignment horizontal="center" vertical="center"/>
    </xf>
    <xf numFmtId="0" fontId="55" fillId="15" borderId="0" xfId="1" applyFont="1" applyFill="1" applyAlignment="1">
      <alignment horizontal="center" vertical="center" wrapText="1"/>
    </xf>
    <xf numFmtId="0" fontId="15" fillId="15" borderId="0" xfId="0" applyFont="1" applyFill="1" applyAlignment="1">
      <alignment horizontal="center" vertical="center" wrapText="1"/>
    </xf>
    <xf numFmtId="0" fontId="55" fillId="35" borderId="0" xfId="1" applyFont="1" applyFill="1" applyAlignment="1">
      <alignment horizontal="center" vertical="center" wrapText="1"/>
    </xf>
    <xf numFmtId="0" fontId="15" fillId="35" borderId="0" xfId="0" applyFont="1" applyFill="1" applyAlignment="1">
      <alignment horizontal="center" vertical="center" wrapText="1"/>
    </xf>
    <xf numFmtId="0" fontId="13" fillId="0" borderId="0" xfId="0" applyFont="1" applyAlignment="1">
      <alignment horizontal="right" vertical="center"/>
    </xf>
    <xf numFmtId="0" fontId="23" fillId="0" borderId="0" xfId="0" applyFont="1" applyAlignment="1">
      <alignment horizontal="right" vertical="center"/>
    </xf>
    <xf numFmtId="0" fontId="67" fillId="49" borderId="0" xfId="0" applyFont="1" applyFill="1" applyAlignment="1">
      <alignment horizontal="center" vertical="top" wrapText="1" readingOrder="2"/>
    </xf>
    <xf numFmtId="165" fontId="6" fillId="9" borderId="2" xfId="0" applyNumberFormat="1" applyFont="1" applyFill="1" applyBorder="1" applyAlignment="1">
      <alignment horizontal="center" vertical="center" wrapText="1" readingOrder="2"/>
    </xf>
    <xf numFmtId="0" fontId="15" fillId="15" borderId="0" xfId="0" applyFont="1" applyFill="1" applyAlignment="1">
      <alignment horizontal="right" vertical="center"/>
    </xf>
    <xf numFmtId="0" fontId="55" fillId="14" borderId="0" xfId="1" applyFont="1" applyFill="1" applyAlignment="1">
      <alignment horizontal="center" vertical="center" wrapText="1"/>
    </xf>
    <xf numFmtId="0" fontId="15" fillId="14" borderId="0" xfId="0" applyFont="1" applyFill="1" applyAlignment="1">
      <alignment horizontal="center" vertical="center" wrapText="1"/>
    </xf>
    <xf numFmtId="9" fontId="6" fillId="9" borderId="2" xfId="0" applyNumberFormat="1" applyFont="1" applyFill="1" applyBorder="1" applyAlignment="1">
      <alignment horizontal="center" vertical="center" wrapText="1" readingOrder="2"/>
    </xf>
    <xf numFmtId="0" fontId="6" fillId="3" borderId="0" xfId="0" applyFont="1" applyFill="1" applyAlignment="1">
      <alignment horizontal="center" vertical="center" wrapText="1"/>
    </xf>
    <xf numFmtId="164" fontId="7" fillId="4" borderId="0" xfId="0" applyNumberFormat="1" applyFont="1" applyFill="1" applyAlignment="1">
      <alignment horizontal="center" vertical="center" wrapText="1"/>
    </xf>
    <xf numFmtId="165" fontId="7" fillId="4" borderId="0" xfId="0" applyNumberFormat="1" applyFont="1" applyFill="1" applyAlignment="1">
      <alignment horizontal="center" vertical="center" wrapText="1" readingOrder="2"/>
    </xf>
    <xf numFmtId="0" fontId="1" fillId="2" borderId="0" xfId="0" applyFont="1" applyFill="1" applyAlignment="1">
      <alignment horizontal="right" vertical="center" wrapText="1"/>
    </xf>
    <xf numFmtId="0" fontId="64" fillId="3" borderId="0" xfId="0" applyFont="1" applyFill="1" applyAlignment="1">
      <alignment horizontal="right" vertical="center" wrapText="1"/>
    </xf>
    <xf numFmtId="0" fontId="2" fillId="4" borderId="1" xfId="0" applyFont="1" applyFill="1" applyBorder="1" applyAlignment="1">
      <alignment horizontal="right" vertical="center" wrapText="1" readingOrder="2"/>
    </xf>
    <xf numFmtId="1" fontId="6" fillId="9" borderId="108" xfId="0" applyNumberFormat="1" applyFont="1" applyFill="1" applyBorder="1" applyAlignment="1">
      <alignment horizontal="center" vertical="center" wrapText="1" readingOrder="2"/>
    </xf>
    <xf numFmtId="1" fontId="6" fillId="9" borderId="2" xfId="0" applyNumberFormat="1" applyFont="1" applyFill="1" applyBorder="1" applyAlignment="1">
      <alignment horizontal="center" vertical="center" wrapText="1" readingOrder="2"/>
    </xf>
    <xf numFmtId="0" fontId="3" fillId="5" borderId="2" xfId="0" applyFont="1" applyFill="1" applyBorder="1" applyAlignment="1" applyProtection="1">
      <alignment horizontal="right" vertical="center" wrapText="1"/>
      <protection hidden="1"/>
    </xf>
    <xf numFmtId="0" fontId="8" fillId="2" borderId="0" xfId="0" applyFont="1" applyFill="1" applyAlignment="1" applyProtection="1">
      <alignment horizontal="right" vertical="center" wrapText="1"/>
      <protection hidden="1"/>
    </xf>
    <xf numFmtId="0" fontId="72" fillId="5" borderId="2" xfId="1" applyFont="1" applyFill="1" applyBorder="1" applyAlignment="1" applyProtection="1">
      <alignment horizontal="right" vertical="center" wrapText="1"/>
      <protection hidden="1"/>
    </xf>
    <xf numFmtId="0" fontId="17" fillId="21" borderId="9" xfId="0" applyFont="1" applyFill="1" applyBorder="1" applyAlignment="1" applyProtection="1">
      <alignment horizontal="center" vertical="center"/>
      <protection locked="0" hidden="1"/>
    </xf>
    <xf numFmtId="0" fontId="17" fillId="21" borderId="10" xfId="0" applyFont="1" applyFill="1" applyBorder="1" applyAlignment="1" applyProtection="1">
      <alignment horizontal="center" vertical="center"/>
      <protection locked="0" hidden="1"/>
    </xf>
    <xf numFmtId="0" fontId="27" fillId="23" borderId="0" xfId="0" applyFont="1" applyFill="1" applyAlignment="1" applyProtection="1">
      <alignment horizontal="center" vertical="center"/>
      <protection hidden="1"/>
    </xf>
    <xf numFmtId="0" fontId="28" fillId="23" borderId="0" xfId="0" applyFont="1" applyFill="1" applyAlignment="1" applyProtection="1">
      <alignment horizontal="center" vertical="center"/>
      <protection hidden="1"/>
    </xf>
    <xf numFmtId="0" fontId="17" fillId="23" borderId="0" xfId="0" applyFont="1" applyFill="1" applyAlignment="1" applyProtection="1">
      <alignment horizontal="center" vertical="center" wrapText="1"/>
      <protection hidden="1"/>
    </xf>
    <xf numFmtId="0" fontId="71" fillId="22" borderId="0" xfId="0" applyFont="1" applyFill="1" applyAlignment="1" applyProtection="1">
      <alignment horizontal="right" vertical="center"/>
      <protection hidden="1"/>
    </xf>
    <xf numFmtId="0" fontId="15" fillId="15" borderId="0" xfId="0" applyFont="1" applyFill="1" applyAlignment="1" applyProtection="1">
      <alignment horizontal="right" vertical="center"/>
      <protection hidden="1"/>
    </xf>
    <xf numFmtId="0" fontId="17" fillId="0" borderId="2" xfId="0" applyFont="1" applyBorder="1" applyAlignment="1" applyProtection="1">
      <alignment horizontal="right" vertical="center"/>
      <protection hidden="1"/>
    </xf>
    <xf numFmtId="0" fontId="26" fillId="14" borderId="22" xfId="0" applyFont="1" applyFill="1" applyBorder="1" applyAlignment="1" applyProtection="1">
      <alignment horizontal="center" vertical="center" wrapText="1"/>
      <protection hidden="1"/>
    </xf>
    <xf numFmtId="0" fontId="26" fillId="14" borderId="20" xfId="0" applyFont="1" applyFill="1" applyBorder="1" applyAlignment="1" applyProtection="1">
      <alignment horizontal="center" vertical="center" wrapText="1"/>
      <protection hidden="1"/>
    </xf>
    <xf numFmtId="0" fontId="26" fillId="14" borderId="25" xfId="0" applyFont="1" applyFill="1" applyBorder="1" applyAlignment="1" applyProtection="1">
      <alignment horizontal="center" vertical="center" wrapText="1"/>
      <protection hidden="1"/>
    </xf>
    <xf numFmtId="0" fontId="26" fillId="14" borderId="23" xfId="0" applyFont="1" applyFill="1" applyBorder="1" applyAlignment="1" applyProtection="1">
      <alignment horizontal="center" vertical="center" wrapText="1"/>
      <protection hidden="1"/>
    </xf>
    <xf numFmtId="0" fontId="26" fillId="14" borderId="0" xfId="0" applyFont="1" applyFill="1" applyAlignment="1" applyProtection="1">
      <alignment horizontal="center" vertical="center" wrapText="1"/>
      <protection hidden="1"/>
    </xf>
    <xf numFmtId="0" fontId="26" fillId="14" borderId="26" xfId="0" applyFont="1" applyFill="1" applyBorder="1" applyAlignment="1" applyProtection="1">
      <alignment horizontal="center" vertical="center" wrapText="1"/>
      <protection hidden="1"/>
    </xf>
    <xf numFmtId="0" fontId="26" fillId="14" borderId="24" xfId="0" applyFont="1" applyFill="1" applyBorder="1" applyAlignment="1" applyProtection="1">
      <alignment horizontal="center" vertical="center" wrapText="1"/>
      <protection hidden="1"/>
    </xf>
    <xf numFmtId="0" fontId="26" fillId="14" borderId="21" xfId="0" applyFont="1" applyFill="1" applyBorder="1" applyAlignment="1" applyProtection="1">
      <alignment horizontal="center" vertical="center" wrapText="1"/>
      <protection hidden="1"/>
    </xf>
    <xf numFmtId="0" fontId="26" fillId="14" borderId="27" xfId="0" applyFont="1" applyFill="1" applyBorder="1" applyAlignment="1" applyProtection="1">
      <alignment horizontal="center" vertical="center" wrapText="1"/>
      <protection hidden="1"/>
    </xf>
    <xf numFmtId="0" fontId="27" fillId="18" borderId="0" xfId="0" applyFont="1" applyFill="1" applyAlignment="1" applyProtection="1">
      <alignment horizontal="center" vertical="center"/>
      <protection hidden="1"/>
    </xf>
    <xf numFmtId="0" fontId="16" fillId="16" borderId="155" xfId="0" applyFont="1" applyFill="1" applyBorder="1" applyAlignment="1" applyProtection="1">
      <alignment horizontal="center" vertical="center"/>
      <protection hidden="1"/>
    </xf>
    <xf numFmtId="0" fontId="16" fillId="16" borderId="156" xfId="0" applyFont="1" applyFill="1" applyBorder="1" applyAlignment="1" applyProtection="1">
      <alignment horizontal="center" vertical="center"/>
      <protection hidden="1"/>
    </xf>
    <xf numFmtId="0" fontId="95" fillId="48" borderId="158" xfId="1" applyFont="1" applyFill="1" applyBorder="1" applyAlignment="1" applyProtection="1">
      <alignment horizontal="center" vertical="center"/>
      <protection locked="0"/>
    </xf>
    <xf numFmtId="0" fontId="12" fillId="14" borderId="0" xfId="0" applyFont="1" applyFill="1" applyAlignment="1" applyProtection="1">
      <alignment horizontal="right" vertical="center"/>
      <protection hidden="1"/>
    </xf>
    <xf numFmtId="0" fontId="65" fillId="19" borderId="0" xfId="0" applyFont="1" applyFill="1" applyAlignment="1" applyProtection="1">
      <alignment horizontal="right" vertical="center"/>
      <protection hidden="1"/>
    </xf>
    <xf numFmtId="0" fontId="21" fillId="0" borderId="3" xfId="0" applyFont="1" applyBorder="1" applyAlignment="1" applyProtection="1">
      <alignment horizontal="right" vertical="center"/>
      <protection hidden="1"/>
    </xf>
    <xf numFmtId="0" fontId="14" fillId="0" borderId="0" xfId="0" applyFont="1" applyAlignment="1" applyProtection="1">
      <alignment horizontal="right" vertical="center"/>
      <protection hidden="1"/>
    </xf>
    <xf numFmtId="0" fontId="16" fillId="16" borderId="18" xfId="0" applyFont="1" applyFill="1" applyBorder="1" applyAlignment="1" applyProtection="1">
      <alignment horizontal="center" vertical="center" wrapText="1"/>
      <protection hidden="1"/>
    </xf>
    <xf numFmtId="0" fontId="17" fillId="17" borderId="3" xfId="0" applyFont="1" applyFill="1" applyBorder="1" applyAlignment="1" applyProtection="1">
      <alignment horizontal="center" vertical="center" wrapText="1"/>
      <protection hidden="1"/>
    </xf>
    <xf numFmtId="0" fontId="17" fillId="21" borderId="3" xfId="0" applyFont="1" applyFill="1" applyBorder="1" applyAlignment="1" applyProtection="1">
      <alignment horizontal="right" vertical="center" wrapText="1"/>
      <protection locked="0" hidden="1"/>
    </xf>
    <xf numFmtId="0" fontId="15" fillId="15" borderId="0" xfId="0" applyFont="1" applyFill="1" applyAlignment="1" applyProtection="1">
      <alignment horizontal="center" vertical="center"/>
      <protection hidden="1"/>
    </xf>
    <xf numFmtId="0" fontId="15" fillId="14" borderId="150" xfId="0" applyFont="1" applyFill="1" applyBorder="1" applyAlignment="1" applyProtection="1">
      <alignment horizontal="center" vertical="center"/>
      <protection hidden="1"/>
    </xf>
    <xf numFmtId="0" fontId="15" fillId="14" borderId="151" xfId="0" applyFont="1" applyFill="1" applyBorder="1" applyAlignment="1" applyProtection="1">
      <alignment horizontal="center" vertical="center"/>
      <protection hidden="1"/>
    </xf>
    <xf numFmtId="0" fontId="26" fillId="15" borderId="0" xfId="0" applyFont="1" applyFill="1" applyAlignment="1" applyProtection="1">
      <alignment horizontal="center" vertical="center"/>
      <protection hidden="1"/>
    </xf>
    <xf numFmtId="0" fontId="65" fillId="11" borderId="0" xfId="0" applyFont="1" applyFill="1" applyAlignment="1" applyProtection="1">
      <alignment horizontal="right" vertical="center" wrapText="1" readingOrder="2"/>
      <protection hidden="1"/>
    </xf>
    <xf numFmtId="0" fontId="21" fillId="25" borderId="43" xfId="0" applyFont="1" applyFill="1" applyBorder="1" applyAlignment="1" applyProtection="1">
      <alignment horizontal="right" vertical="center" readingOrder="2"/>
      <protection hidden="1"/>
    </xf>
    <xf numFmtId="0" fontId="21" fillId="25" borderId="36" xfId="0" applyFont="1" applyFill="1" applyBorder="1" applyAlignment="1" applyProtection="1">
      <alignment horizontal="right" vertical="center" readingOrder="2"/>
      <protection hidden="1"/>
    </xf>
    <xf numFmtId="0" fontId="21" fillId="25" borderId="35" xfId="0" applyFont="1" applyFill="1" applyBorder="1" applyAlignment="1" applyProtection="1">
      <alignment horizontal="right" vertical="center" readingOrder="2"/>
      <protection hidden="1"/>
    </xf>
    <xf numFmtId="0" fontId="17" fillId="24" borderId="32" xfId="0" applyFont="1" applyFill="1" applyBorder="1" applyAlignment="1" applyProtection="1">
      <alignment horizontal="right" vertical="top" wrapText="1" readingOrder="2"/>
      <protection hidden="1"/>
    </xf>
    <xf numFmtId="0" fontId="17" fillId="24" borderId="0" xfId="0" applyFont="1" applyFill="1" applyAlignment="1" applyProtection="1">
      <alignment horizontal="right" vertical="top" wrapText="1" readingOrder="2"/>
      <protection hidden="1"/>
    </xf>
    <xf numFmtId="0" fontId="17" fillId="24" borderId="32" xfId="0" applyFont="1" applyFill="1" applyBorder="1" applyAlignment="1" applyProtection="1">
      <alignment horizontal="right" vertical="top" wrapText="1"/>
      <protection hidden="1"/>
    </xf>
    <xf numFmtId="0" fontId="17" fillId="24" borderId="42" xfId="0" applyFont="1" applyFill="1" applyBorder="1" applyAlignment="1" applyProtection="1">
      <alignment horizontal="right" vertical="top" wrapText="1"/>
      <protection hidden="1"/>
    </xf>
    <xf numFmtId="0" fontId="65" fillId="27" borderId="44" xfId="0" applyFont="1" applyFill="1" applyBorder="1" applyAlignment="1" applyProtection="1">
      <alignment horizontal="right" vertical="center" wrapText="1"/>
      <protection hidden="1"/>
    </xf>
    <xf numFmtId="0" fontId="65" fillId="27" borderId="41" xfId="0" applyFont="1" applyFill="1" applyBorder="1" applyAlignment="1" applyProtection="1">
      <alignment horizontal="right" vertical="center" wrapText="1"/>
      <protection hidden="1"/>
    </xf>
    <xf numFmtId="0" fontId="29" fillId="27" borderId="40" xfId="0" applyFont="1" applyFill="1" applyBorder="1" applyAlignment="1" applyProtection="1">
      <alignment horizontal="right" vertical="center" wrapText="1"/>
      <protection hidden="1"/>
    </xf>
    <xf numFmtId="0" fontId="30" fillId="26" borderId="47" xfId="0" applyFont="1" applyFill="1" applyBorder="1" applyAlignment="1" applyProtection="1">
      <alignment horizontal="right" vertical="center" wrapText="1" readingOrder="2"/>
      <protection hidden="1"/>
    </xf>
    <xf numFmtId="0" fontId="30" fillId="26" borderId="37" xfId="0" applyFont="1" applyFill="1" applyBorder="1" applyAlignment="1" applyProtection="1">
      <alignment horizontal="right" vertical="center" wrapText="1" readingOrder="2"/>
      <protection hidden="1"/>
    </xf>
    <xf numFmtId="0" fontId="30" fillId="26" borderId="45" xfId="0" applyFont="1" applyFill="1" applyBorder="1" applyAlignment="1" applyProtection="1">
      <alignment horizontal="right" vertical="center" wrapText="1" readingOrder="2"/>
      <protection hidden="1"/>
    </xf>
    <xf numFmtId="0" fontId="30" fillId="26" borderId="48" xfId="0" applyFont="1" applyFill="1" applyBorder="1" applyAlignment="1" applyProtection="1">
      <alignment horizontal="right" vertical="center" wrapText="1" readingOrder="2"/>
      <protection hidden="1"/>
    </xf>
    <xf numFmtId="0" fontId="30" fillId="26" borderId="38" xfId="0" applyFont="1" applyFill="1" applyBorder="1" applyAlignment="1" applyProtection="1">
      <alignment horizontal="right" vertical="center" wrapText="1" readingOrder="2"/>
      <protection hidden="1"/>
    </xf>
    <xf numFmtId="0" fontId="30" fillId="26" borderId="46" xfId="0" applyFont="1" applyFill="1" applyBorder="1" applyAlignment="1" applyProtection="1">
      <alignment horizontal="right" vertical="center" wrapText="1" readingOrder="2"/>
      <protection hidden="1"/>
    </xf>
    <xf numFmtId="0" fontId="65" fillId="11" borderId="0" xfId="0" applyFont="1" applyFill="1" applyAlignment="1" applyProtection="1">
      <alignment horizontal="right" vertical="center" wrapText="1"/>
      <protection hidden="1"/>
    </xf>
    <xf numFmtId="0" fontId="6" fillId="25" borderId="33" xfId="0" applyFont="1" applyFill="1" applyBorder="1" applyAlignment="1" applyProtection="1">
      <alignment horizontal="right" vertical="center"/>
      <protection hidden="1"/>
    </xf>
    <xf numFmtId="0" fontId="16" fillId="25" borderId="30" xfId="0" applyFont="1" applyFill="1" applyBorder="1" applyAlignment="1" applyProtection="1">
      <alignment horizontal="right" vertical="center"/>
      <protection hidden="1"/>
    </xf>
    <xf numFmtId="0" fontId="16" fillId="25" borderId="51" xfId="0" applyFont="1" applyFill="1" applyBorder="1" applyAlignment="1" applyProtection="1">
      <alignment horizontal="right" vertical="center"/>
      <protection hidden="1"/>
    </xf>
    <xf numFmtId="167" fontId="32" fillId="24" borderId="32" xfId="0" applyNumberFormat="1" applyFont="1" applyFill="1" applyBorder="1" applyAlignment="1" applyProtection="1">
      <alignment horizontal="center" vertical="center"/>
      <protection hidden="1"/>
    </xf>
    <xf numFmtId="167" fontId="32" fillId="24" borderId="0" xfId="0" applyNumberFormat="1" applyFont="1" applyFill="1" applyAlignment="1" applyProtection="1">
      <alignment horizontal="center" vertical="center"/>
      <protection hidden="1"/>
    </xf>
    <xf numFmtId="167" fontId="32" fillId="24" borderId="42" xfId="0" applyNumberFormat="1" applyFont="1" applyFill="1" applyBorder="1" applyAlignment="1" applyProtection="1">
      <alignment horizontal="center" vertical="center"/>
      <protection hidden="1"/>
    </xf>
    <xf numFmtId="0" fontId="65" fillId="27" borderId="34" xfId="0" applyFont="1" applyFill="1" applyBorder="1" applyAlignment="1" applyProtection="1">
      <alignment horizontal="right" vertical="center"/>
      <protection hidden="1"/>
    </xf>
    <xf numFmtId="0" fontId="65" fillId="27" borderId="31" xfId="0" applyFont="1" applyFill="1" applyBorder="1" applyAlignment="1" applyProtection="1">
      <alignment horizontal="right" vertical="center"/>
      <protection hidden="1"/>
    </xf>
    <xf numFmtId="0" fontId="29" fillId="27" borderId="31" xfId="0" applyFont="1" applyFill="1" applyBorder="1" applyAlignment="1" applyProtection="1">
      <alignment horizontal="right" vertical="center"/>
      <protection hidden="1"/>
    </xf>
    <xf numFmtId="0" fontId="29" fillId="27" borderId="52" xfId="0" applyFont="1" applyFill="1" applyBorder="1" applyAlignment="1" applyProtection="1">
      <alignment horizontal="right" vertical="center"/>
      <protection hidden="1"/>
    </xf>
    <xf numFmtId="166" fontId="87" fillId="24" borderId="32" xfId="0" applyNumberFormat="1" applyFont="1" applyFill="1" applyBorder="1" applyAlignment="1" applyProtection="1">
      <alignment horizontal="center" vertical="center"/>
      <protection hidden="1"/>
    </xf>
    <xf numFmtId="0" fontId="87" fillId="24" borderId="0" xfId="0" applyFont="1" applyFill="1" applyAlignment="1" applyProtection="1">
      <alignment horizontal="center" vertical="center"/>
      <protection hidden="1"/>
    </xf>
    <xf numFmtId="0" fontId="87" fillId="24" borderId="32" xfId="0" applyFont="1" applyFill="1" applyBorder="1" applyAlignment="1" applyProtection="1">
      <alignment horizontal="center" vertical="center"/>
      <protection hidden="1"/>
    </xf>
    <xf numFmtId="1" fontId="87" fillId="24" borderId="32" xfId="0" applyNumberFormat="1" applyFont="1" applyFill="1" applyBorder="1" applyAlignment="1" applyProtection="1">
      <alignment horizontal="center" vertical="center"/>
      <protection hidden="1"/>
    </xf>
    <xf numFmtId="0" fontId="87" fillId="24" borderId="42" xfId="0" applyFont="1" applyFill="1" applyBorder="1" applyAlignment="1" applyProtection="1">
      <alignment horizontal="center" vertical="center"/>
      <protection hidden="1"/>
    </xf>
    <xf numFmtId="0" fontId="88" fillId="27" borderId="34" xfId="0" applyFont="1" applyFill="1" applyBorder="1" applyAlignment="1" applyProtection="1">
      <alignment horizontal="right" vertical="center"/>
      <protection hidden="1"/>
    </xf>
    <xf numFmtId="0" fontId="88" fillId="27" borderId="31" xfId="0" applyFont="1" applyFill="1" applyBorder="1" applyAlignment="1" applyProtection="1">
      <alignment horizontal="right" vertical="center"/>
      <protection hidden="1"/>
    </xf>
    <xf numFmtId="0" fontId="89" fillId="27" borderId="31" xfId="0" applyFont="1" applyFill="1" applyBorder="1" applyAlignment="1" applyProtection="1">
      <alignment horizontal="right" vertical="center"/>
      <protection hidden="1"/>
    </xf>
    <xf numFmtId="0" fontId="89" fillId="27" borderId="52" xfId="0" applyFont="1" applyFill="1" applyBorder="1" applyAlignment="1" applyProtection="1">
      <alignment horizontal="right" vertical="center"/>
      <protection hidden="1"/>
    </xf>
    <xf numFmtId="0" fontId="8" fillId="14" borderId="0" xfId="0" applyFont="1" applyFill="1" applyAlignment="1" applyProtection="1">
      <alignment horizontal="right" vertical="center" wrapText="1"/>
      <protection hidden="1"/>
    </xf>
    <xf numFmtId="0" fontId="84" fillId="11" borderId="0" xfId="0" applyFont="1" applyFill="1" applyAlignment="1" applyProtection="1">
      <alignment horizontal="right" vertical="center" wrapText="1" readingOrder="2"/>
      <protection hidden="1"/>
    </xf>
    <xf numFmtId="0" fontId="84" fillId="19" borderId="0" xfId="0" applyFont="1" applyFill="1" applyAlignment="1" applyProtection="1">
      <alignment horizontal="right" vertical="center" wrapText="1" readingOrder="2"/>
      <protection hidden="1"/>
    </xf>
    <xf numFmtId="0" fontId="90" fillId="15" borderId="0" xfId="0" applyFont="1" applyFill="1" applyAlignment="1" applyProtection="1">
      <alignment horizontal="right" vertical="center"/>
      <protection hidden="1"/>
    </xf>
    <xf numFmtId="0" fontId="87" fillId="25" borderId="33" xfId="0" applyFont="1" applyFill="1" applyBorder="1" applyAlignment="1" applyProtection="1">
      <alignment horizontal="right" vertical="center"/>
      <protection hidden="1"/>
    </xf>
    <xf numFmtId="0" fontId="87" fillId="25" borderId="30" xfId="0" applyFont="1" applyFill="1" applyBorder="1" applyAlignment="1" applyProtection="1">
      <alignment horizontal="right" vertical="center"/>
      <protection hidden="1"/>
    </xf>
    <xf numFmtId="0" fontId="87" fillId="25" borderId="51" xfId="0" applyFont="1" applyFill="1" applyBorder="1" applyAlignment="1" applyProtection="1">
      <alignment horizontal="right" vertical="center"/>
      <protection hidden="1"/>
    </xf>
    <xf numFmtId="0" fontId="100" fillId="19" borderId="0" xfId="0" applyFont="1" applyFill="1" applyAlignment="1" applyProtection="1">
      <alignment horizontal="right" vertical="center" readingOrder="2"/>
      <protection hidden="1"/>
    </xf>
    <xf numFmtId="0" fontId="15" fillId="15" borderId="127" xfId="0" applyFont="1" applyFill="1" applyBorder="1" applyAlignment="1" applyProtection="1">
      <alignment horizontal="center" vertical="center"/>
      <protection hidden="1"/>
    </xf>
    <xf numFmtId="0" fontId="15" fillId="15" borderId="128" xfId="0" applyFont="1" applyFill="1" applyBorder="1" applyAlignment="1" applyProtection="1">
      <alignment horizontal="center" vertical="center"/>
      <protection hidden="1"/>
    </xf>
    <xf numFmtId="0" fontId="15" fillId="15" borderId="129" xfId="0" applyFont="1" applyFill="1" applyBorder="1" applyAlignment="1" applyProtection="1">
      <alignment horizontal="center" vertical="center"/>
      <protection hidden="1"/>
    </xf>
    <xf numFmtId="0" fontId="15" fillId="15" borderId="124" xfId="0" applyFont="1" applyFill="1" applyBorder="1" applyAlignment="1" applyProtection="1">
      <alignment horizontal="center" vertical="center"/>
      <protection hidden="1"/>
    </xf>
    <xf numFmtId="0" fontId="15" fillId="15" borderId="130" xfId="0" applyFont="1" applyFill="1" applyBorder="1" applyAlignment="1" applyProtection="1">
      <alignment horizontal="center" vertical="center"/>
      <protection hidden="1"/>
    </xf>
    <xf numFmtId="0" fontId="15" fillId="15" borderId="126" xfId="0" applyFont="1" applyFill="1" applyBorder="1" applyAlignment="1" applyProtection="1">
      <alignment horizontal="center" vertical="center"/>
      <protection hidden="1"/>
    </xf>
    <xf numFmtId="0" fontId="75" fillId="14" borderId="0" xfId="0" applyFont="1" applyFill="1" applyAlignment="1" applyProtection="1">
      <alignment horizontal="right" vertical="center"/>
      <protection hidden="1"/>
    </xf>
    <xf numFmtId="0" fontId="65" fillId="19" borderId="31" xfId="0" applyFont="1" applyFill="1" applyBorder="1" applyAlignment="1" applyProtection="1">
      <alignment horizontal="right" vertical="center"/>
      <protection hidden="1"/>
    </xf>
    <xf numFmtId="0" fontId="15" fillId="15" borderId="8" xfId="0" applyFont="1" applyFill="1" applyBorder="1" applyAlignment="1" applyProtection="1">
      <alignment horizontal="right" vertical="center"/>
      <protection hidden="1"/>
    </xf>
    <xf numFmtId="0" fontId="15" fillId="15" borderId="38" xfId="0" applyFont="1" applyFill="1" applyBorder="1" applyAlignment="1" applyProtection="1">
      <alignment horizontal="right" vertical="center"/>
      <protection hidden="1"/>
    </xf>
    <xf numFmtId="0" fontId="15" fillId="15" borderId="79" xfId="0" applyFont="1" applyFill="1" applyBorder="1" applyAlignment="1" applyProtection="1">
      <alignment horizontal="right" vertical="center"/>
      <protection hidden="1"/>
    </xf>
    <xf numFmtId="0" fontId="40" fillId="13" borderId="55" xfId="0" applyFont="1" applyFill="1" applyBorder="1" applyAlignment="1" applyProtection="1">
      <alignment horizontal="center" vertical="center"/>
      <protection hidden="1"/>
    </xf>
    <xf numFmtId="0" fontId="40" fillId="13" borderId="54" xfId="0" applyFont="1" applyFill="1" applyBorder="1" applyAlignment="1" applyProtection="1">
      <alignment horizontal="center" vertical="center"/>
      <protection hidden="1"/>
    </xf>
    <xf numFmtId="0" fontId="40" fillId="13" borderId="56" xfId="0" applyFont="1" applyFill="1" applyBorder="1" applyAlignment="1" applyProtection="1">
      <alignment horizontal="center" vertical="center"/>
      <protection hidden="1"/>
    </xf>
    <xf numFmtId="0" fontId="16" fillId="25" borderId="33" xfId="0" applyFont="1" applyFill="1" applyBorder="1" applyAlignment="1" applyProtection="1">
      <alignment horizontal="right" vertical="center"/>
      <protection hidden="1"/>
    </xf>
    <xf numFmtId="0" fontId="37" fillId="24" borderId="32" xfId="0" applyFont="1" applyFill="1" applyBorder="1" applyAlignment="1" applyProtection="1">
      <alignment horizontal="right" vertical="top" wrapText="1"/>
      <protection hidden="1"/>
    </xf>
    <xf numFmtId="0" fontId="37" fillId="24" borderId="0" xfId="0" applyFont="1" applyFill="1" applyAlignment="1" applyProtection="1">
      <alignment horizontal="right" vertical="top" wrapText="1"/>
      <protection hidden="1"/>
    </xf>
    <xf numFmtId="0" fontId="37" fillId="24" borderId="34" xfId="0" applyFont="1" applyFill="1" applyBorder="1" applyAlignment="1" applyProtection="1">
      <alignment horizontal="right" vertical="top" wrapText="1"/>
      <protection hidden="1"/>
    </xf>
    <xf numFmtId="0" fontId="37" fillId="24" borderId="31" xfId="0" applyFont="1" applyFill="1" applyBorder="1" applyAlignment="1" applyProtection="1">
      <alignment horizontal="right" vertical="top" wrapText="1"/>
      <protection hidden="1"/>
    </xf>
    <xf numFmtId="0" fontId="37" fillId="24" borderId="42" xfId="0" applyFont="1" applyFill="1" applyBorder="1" applyAlignment="1" applyProtection="1">
      <alignment horizontal="right" vertical="top" wrapText="1"/>
      <protection hidden="1"/>
    </xf>
    <xf numFmtId="0" fontId="37" fillId="24" borderId="52" xfId="0" applyFont="1" applyFill="1" applyBorder="1" applyAlignment="1" applyProtection="1">
      <alignment horizontal="right" vertical="top" wrapText="1"/>
      <protection hidden="1"/>
    </xf>
    <xf numFmtId="0" fontId="39" fillId="17" borderId="39" xfId="0" applyFont="1" applyFill="1" applyBorder="1" applyAlignment="1" applyProtection="1">
      <alignment horizontal="right" vertical="center" wrapText="1" readingOrder="2"/>
      <protection hidden="1"/>
    </xf>
    <xf numFmtId="0" fontId="39" fillId="17" borderId="37" xfId="0" applyFont="1" applyFill="1" applyBorder="1" applyAlignment="1" applyProtection="1">
      <alignment horizontal="right" vertical="center" wrapText="1" readingOrder="2"/>
      <protection hidden="1"/>
    </xf>
    <xf numFmtId="0" fontId="39" fillId="17" borderId="45" xfId="0" applyFont="1" applyFill="1" applyBorder="1" applyAlignment="1" applyProtection="1">
      <alignment horizontal="right" vertical="center" wrapText="1" readingOrder="2"/>
      <protection hidden="1"/>
    </xf>
    <xf numFmtId="0" fontId="15" fillId="15" borderId="31" xfId="0" applyFont="1" applyFill="1" applyBorder="1" applyAlignment="1" applyProtection="1">
      <alignment horizontal="right" vertical="center"/>
      <protection hidden="1"/>
    </xf>
    <xf numFmtId="0" fontId="41" fillId="29" borderId="43" xfId="0" applyFont="1" applyFill="1" applyBorder="1" applyAlignment="1" applyProtection="1">
      <alignment horizontal="center" vertical="center" readingOrder="2"/>
      <protection hidden="1"/>
    </xf>
    <xf numFmtId="0" fontId="41" fillId="29" borderId="36" xfId="0" applyFont="1" applyFill="1" applyBorder="1" applyAlignment="1" applyProtection="1">
      <alignment horizontal="center" vertical="center" readingOrder="2"/>
      <protection hidden="1"/>
    </xf>
    <xf numFmtId="0" fontId="41" fillId="29" borderId="35" xfId="0" applyFont="1" applyFill="1" applyBorder="1" applyAlignment="1" applyProtection="1">
      <alignment horizontal="center" vertical="center" readingOrder="2"/>
      <protection hidden="1"/>
    </xf>
    <xf numFmtId="0" fontId="65" fillId="0" borderId="30" xfId="0" applyFont="1" applyBorder="1" applyAlignment="1" applyProtection="1">
      <alignment horizontal="center" vertical="center"/>
      <protection hidden="1"/>
    </xf>
    <xf numFmtId="0" fontId="38" fillId="30" borderId="67" xfId="0" applyFont="1" applyFill="1" applyBorder="1" applyAlignment="1" applyProtection="1">
      <alignment horizontal="right" vertical="center" wrapText="1" readingOrder="2"/>
      <protection hidden="1"/>
    </xf>
    <xf numFmtId="0" fontId="38" fillId="30" borderId="66" xfId="0" applyFont="1" applyFill="1" applyBorder="1" applyAlignment="1" applyProtection="1">
      <alignment horizontal="right" vertical="center" wrapText="1" readingOrder="2"/>
      <protection hidden="1"/>
    </xf>
    <xf numFmtId="0" fontId="38" fillId="30" borderId="68" xfId="0" applyFont="1" applyFill="1" applyBorder="1" applyAlignment="1" applyProtection="1">
      <alignment horizontal="right" vertical="center" wrapText="1" readingOrder="2"/>
      <protection hidden="1"/>
    </xf>
    <xf numFmtId="0" fontId="17" fillId="24" borderId="63" xfId="0" applyFont="1" applyFill="1" applyBorder="1" applyAlignment="1" applyProtection="1">
      <alignment horizontal="right" vertical="center"/>
      <protection hidden="1"/>
    </xf>
    <xf numFmtId="0" fontId="17" fillId="24" borderId="57" xfId="0" applyFont="1" applyFill="1" applyBorder="1" applyAlignment="1" applyProtection="1">
      <alignment horizontal="right" vertical="center"/>
      <protection hidden="1"/>
    </xf>
    <xf numFmtId="0" fontId="18" fillId="24" borderId="59" xfId="0" applyFont="1" applyFill="1" applyBorder="1" applyAlignment="1" applyProtection="1">
      <alignment horizontal="right" vertical="center"/>
      <protection hidden="1"/>
    </xf>
    <xf numFmtId="0" fontId="18" fillId="24" borderId="58" xfId="0" applyFont="1" applyFill="1" applyBorder="1" applyAlignment="1" applyProtection="1">
      <alignment horizontal="right" vertical="center"/>
      <protection hidden="1"/>
    </xf>
    <xf numFmtId="0" fontId="21" fillId="29" borderId="62" xfId="0" applyFont="1" applyFill="1" applyBorder="1" applyAlignment="1" applyProtection="1">
      <alignment horizontal="center" vertical="center"/>
      <protection hidden="1"/>
    </xf>
    <xf numFmtId="0" fontId="21" fillId="29" borderId="58" xfId="0" applyFont="1" applyFill="1" applyBorder="1" applyAlignment="1" applyProtection="1">
      <alignment horizontal="center" vertical="center"/>
      <protection hidden="1"/>
    </xf>
    <xf numFmtId="0" fontId="67" fillId="24" borderId="58" xfId="0" applyFont="1" applyFill="1" applyBorder="1" applyAlignment="1" applyProtection="1">
      <alignment horizontal="right" vertical="center" wrapText="1"/>
      <protection hidden="1"/>
    </xf>
    <xf numFmtId="0" fontId="36" fillId="24" borderId="61" xfId="0" applyFont="1" applyFill="1" applyBorder="1" applyAlignment="1" applyProtection="1">
      <alignment horizontal="right" vertical="center" wrapText="1"/>
      <protection hidden="1"/>
    </xf>
    <xf numFmtId="0" fontId="17" fillId="24" borderId="59" xfId="0" applyFont="1" applyFill="1" applyBorder="1" applyAlignment="1" applyProtection="1">
      <alignment horizontal="right" vertical="center"/>
      <protection hidden="1"/>
    </xf>
    <xf numFmtId="0" fontId="17" fillId="24" borderId="58" xfId="0" applyFont="1" applyFill="1" applyBorder="1" applyAlignment="1" applyProtection="1">
      <alignment horizontal="right" vertical="center"/>
      <protection hidden="1"/>
    </xf>
    <xf numFmtId="0" fontId="18" fillId="24" borderId="63" xfId="0" applyFont="1" applyFill="1" applyBorder="1" applyAlignment="1" applyProtection="1">
      <alignment horizontal="right" vertical="center"/>
      <protection hidden="1"/>
    </xf>
    <xf numFmtId="0" fontId="18" fillId="24" borderId="57" xfId="0" applyFont="1" applyFill="1" applyBorder="1" applyAlignment="1" applyProtection="1">
      <alignment horizontal="right" vertical="center"/>
      <protection hidden="1"/>
    </xf>
    <xf numFmtId="0" fontId="21" fillId="29" borderId="64" xfId="0" applyFont="1" applyFill="1" applyBorder="1" applyAlignment="1" applyProtection="1">
      <alignment horizontal="center" vertical="center"/>
      <protection hidden="1"/>
    </xf>
    <xf numFmtId="0" fontId="21" fillId="29" borderId="57" xfId="0" applyFont="1" applyFill="1" applyBorder="1" applyAlignment="1" applyProtection="1">
      <alignment horizontal="center" vertical="center"/>
      <protection hidden="1"/>
    </xf>
    <xf numFmtId="0" fontId="67" fillId="24" borderId="57" xfId="0" applyFont="1" applyFill="1" applyBorder="1" applyAlignment="1" applyProtection="1">
      <alignment horizontal="right" vertical="center" wrapText="1"/>
      <protection hidden="1"/>
    </xf>
    <xf numFmtId="0" fontId="36" fillId="24" borderId="65" xfId="0" applyFont="1" applyFill="1" applyBorder="1" applyAlignment="1" applyProtection="1">
      <alignment horizontal="right" vertical="center" wrapText="1"/>
      <protection hidden="1"/>
    </xf>
    <xf numFmtId="0" fontId="16" fillId="16" borderId="0" xfId="0" applyFont="1" applyFill="1" applyAlignment="1" applyProtection="1">
      <alignment horizontal="center" vertical="center"/>
      <protection hidden="1"/>
    </xf>
    <xf numFmtId="0" fontId="65" fillId="23" borderId="0" xfId="0" applyFont="1" applyFill="1" applyAlignment="1" applyProtection="1">
      <alignment horizontal="right" vertical="center"/>
      <protection hidden="1"/>
    </xf>
    <xf numFmtId="0" fontId="35" fillId="24" borderId="28" xfId="0" applyFont="1" applyFill="1" applyBorder="1" applyAlignment="1" applyProtection="1">
      <alignment horizontal="center" vertical="center"/>
      <protection hidden="1"/>
    </xf>
    <xf numFmtId="0" fontId="35" fillId="24" borderId="29" xfId="0" applyFont="1" applyFill="1" applyBorder="1" applyAlignment="1" applyProtection="1">
      <alignment horizontal="center" vertical="center"/>
      <protection hidden="1"/>
    </xf>
    <xf numFmtId="0" fontId="18" fillId="24" borderId="30" xfId="0" applyFont="1" applyFill="1" applyBorder="1" applyAlignment="1" applyProtection="1">
      <alignment horizontal="right" vertical="center" wrapText="1"/>
      <protection hidden="1"/>
    </xf>
    <xf numFmtId="0" fontId="67" fillId="24" borderId="31" xfId="0" applyFont="1" applyFill="1" applyBorder="1" applyAlignment="1" applyProtection="1">
      <alignment horizontal="right" vertical="top" wrapText="1"/>
      <protection hidden="1"/>
    </xf>
    <xf numFmtId="0" fontId="36" fillId="24" borderId="31" xfId="0" applyFont="1" applyFill="1" applyBorder="1" applyAlignment="1" applyProtection="1">
      <alignment horizontal="right" vertical="top" wrapText="1"/>
      <protection hidden="1"/>
    </xf>
    <xf numFmtId="0" fontId="18" fillId="24" borderId="51" xfId="0" applyFont="1" applyFill="1" applyBorder="1" applyAlignment="1" applyProtection="1">
      <alignment horizontal="right" vertical="center" wrapText="1"/>
      <protection hidden="1"/>
    </xf>
    <xf numFmtId="0" fontId="36" fillId="24" borderId="52" xfId="0" applyFont="1" applyFill="1" applyBorder="1" applyAlignment="1" applyProtection="1">
      <alignment horizontal="right" vertical="top" wrapText="1"/>
      <protection hidden="1"/>
    </xf>
    <xf numFmtId="0" fontId="98" fillId="48" borderId="159" xfId="1" applyFont="1" applyFill="1" applyBorder="1" applyAlignment="1" applyProtection="1">
      <alignment horizontal="center" vertical="center"/>
      <protection locked="0"/>
    </xf>
    <xf numFmtId="0" fontId="98" fillId="48" borderId="160" xfId="1" applyFont="1" applyFill="1" applyBorder="1" applyAlignment="1" applyProtection="1">
      <alignment horizontal="center" vertical="center"/>
      <protection locked="0"/>
    </xf>
    <xf numFmtId="0" fontId="24" fillId="20" borderId="0" xfId="0" applyFont="1" applyFill="1" applyAlignment="1" applyProtection="1">
      <alignment horizontal="center" vertical="center"/>
      <protection hidden="1"/>
    </xf>
    <xf numFmtId="166" fontId="31" fillId="21" borderId="9" xfId="0" applyNumberFormat="1" applyFont="1" applyFill="1" applyBorder="1" applyAlignment="1" applyProtection="1">
      <alignment horizontal="center" vertical="center" wrapText="1" readingOrder="2"/>
      <protection locked="0"/>
    </xf>
    <xf numFmtId="166" fontId="31" fillId="21" borderId="154" xfId="0" applyNumberFormat="1" applyFont="1" applyFill="1" applyBorder="1" applyAlignment="1" applyProtection="1">
      <alignment horizontal="center" vertical="center" wrapText="1" readingOrder="2"/>
      <protection locked="0"/>
    </xf>
    <xf numFmtId="166" fontId="31" fillId="21" borderId="10" xfId="0" applyNumberFormat="1" applyFont="1" applyFill="1" applyBorder="1" applyAlignment="1" applyProtection="1">
      <alignment horizontal="center" vertical="center" wrapText="1" readingOrder="2"/>
      <protection locked="0"/>
    </xf>
    <xf numFmtId="0" fontId="91" fillId="29" borderId="64" xfId="0" applyFont="1" applyFill="1" applyBorder="1" applyAlignment="1" applyProtection="1">
      <alignment horizontal="center" vertical="center" readingOrder="2"/>
      <protection hidden="1"/>
    </xf>
    <xf numFmtId="0" fontId="91" fillId="29" borderId="57" xfId="0" applyFont="1" applyFill="1" applyBorder="1" applyAlignment="1" applyProtection="1">
      <alignment horizontal="center" vertical="center" readingOrder="2"/>
      <protection hidden="1"/>
    </xf>
    <xf numFmtId="0" fontId="91" fillId="29" borderId="62" xfId="0" applyFont="1" applyFill="1" applyBorder="1" applyAlignment="1" applyProtection="1">
      <alignment horizontal="center" vertical="center" readingOrder="2"/>
      <protection hidden="1"/>
    </xf>
    <xf numFmtId="0" fontId="91" fillId="29" borderId="58" xfId="0" applyFont="1" applyFill="1" applyBorder="1" applyAlignment="1" applyProtection="1">
      <alignment horizontal="center" vertical="center" readingOrder="2"/>
      <protection hidden="1"/>
    </xf>
    <xf numFmtId="0" fontId="65" fillId="0" borderId="30" xfId="0" applyFont="1" applyBorder="1" applyAlignment="1" applyProtection="1">
      <alignment horizontal="center" vertical="center" readingOrder="2"/>
      <protection hidden="1"/>
    </xf>
    <xf numFmtId="0" fontId="15" fillId="15" borderId="7" xfId="0" applyFont="1" applyFill="1" applyBorder="1" applyAlignment="1" applyProtection="1">
      <alignment horizontal="right" vertical="center"/>
      <protection hidden="1"/>
    </xf>
    <xf numFmtId="0" fontId="68" fillId="0" borderId="19" xfId="0" applyFont="1" applyBorder="1" applyAlignment="1" applyProtection="1">
      <alignment horizontal="right" readingOrder="2"/>
      <protection hidden="1"/>
    </xf>
    <xf numFmtId="0" fontId="16" fillId="16" borderId="131" xfId="0" applyFont="1" applyFill="1" applyBorder="1" applyAlignment="1" applyProtection="1">
      <alignment horizontal="center" vertical="center" wrapText="1"/>
      <protection hidden="1"/>
    </xf>
    <xf numFmtId="0" fontId="16" fillId="16" borderId="125" xfId="0" applyFont="1" applyFill="1" applyBorder="1" applyAlignment="1" applyProtection="1">
      <alignment horizontal="center" vertical="center" wrapText="1"/>
      <protection hidden="1"/>
    </xf>
    <xf numFmtId="0" fontId="37" fillId="24" borderId="34" xfId="0" applyFont="1" applyFill="1" applyBorder="1" applyAlignment="1" applyProtection="1">
      <alignment horizontal="right" vertical="center" wrapText="1"/>
      <protection hidden="1"/>
    </xf>
    <xf numFmtId="0" fontId="37" fillId="24" borderId="31" xfId="0" applyFont="1" applyFill="1" applyBorder="1" applyAlignment="1" applyProtection="1">
      <alignment horizontal="right" vertical="center" wrapText="1"/>
      <protection hidden="1"/>
    </xf>
    <xf numFmtId="0" fontId="37" fillId="24" borderId="52" xfId="0" applyFont="1" applyFill="1" applyBorder="1" applyAlignment="1" applyProtection="1">
      <alignment horizontal="right" vertical="center" wrapText="1"/>
      <protection hidden="1"/>
    </xf>
    <xf numFmtId="0" fontId="67" fillId="31" borderId="3" xfId="0" applyFont="1" applyFill="1" applyBorder="1" applyAlignment="1" applyProtection="1">
      <alignment horizontal="right" vertical="center"/>
      <protection hidden="1"/>
    </xf>
    <xf numFmtId="166" fontId="31" fillId="21" borderId="9" xfId="0" applyNumberFormat="1" applyFont="1" applyFill="1" applyBorder="1" applyAlignment="1" applyProtection="1">
      <alignment horizontal="left" vertical="center" wrapText="1" readingOrder="2"/>
      <protection locked="0" hidden="1"/>
    </xf>
    <xf numFmtId="166" fontId="31" fillId="21" borderId="10" xfId="0" applyNumberFormat="1" applyFont="1" applyFill="1" applyBorder="1" applyAlignment="1" applyProtection="1">
      <alignment horizontal="left" vertical="center" wrapText="1" readingOrder="2"/>
      <protection locked="0" hidden="1"/>
    </xf>
    <xf numFmtId="0" fontId="16" fillId="29" borderId="62" xfId="0" applyFont="1" applyFill="1" applyBorder="1" applyAlignment="1" applyProtection="1">
      <alignment horizontal="center" vertical="center" readingOrder="2"/>
      <protection hidden="1"/>
    </xf>
    <xf numFmtId="0" fontId="16" fillId="29" borderId="58" xfId="0" applyFont="1" applyFill="1" applyBorder="1" applyAlignment="1" applyProtection="1">
      <alignment horizontal="center" vertical="center" readingOrder="2"/>
      <protection hidden="1"/>
    </xf>
    <xf numFmtId="0" fontId="38" fillId="30" borderId="67" xfId="0" applyFont="1" applyFill="1" applyBorder="1" applyAlignment="1" applyProtection="1">
      <alignment horizontal="center" vertical="center" wrapText="1" readingOrder="2"/>
      <protection hidden="1"/>
    </xf>
    <xf numFmtId="0" fontId="38" fillId="30" borderId="66" xfId="0" applyFont="1" applyFill="1" applyBorder="1" applyAlignment="1" applyProtection="1">
      <alignment horizontal="center" vertical="center" wrapText="1" readingOrder="2"/>
      <protection hidden="1"/>
    </xf>
    <xf numFmtId="0" fontId="38" fillId="30" borderId="68" xfId="0" applyFont="1" applyFill="1" applyBorder="1" applyAlignment="1" applyProtection="1">
      <alignment horizontal="center" vertical="center" wrapText="1" readingOrder="2"/>
      <protection hidden="1"/>
    </xf>
    <xf numFmtId="0" fontId="16" fillId="29" borderId="64" xfId="0" applyFont="1" applyFill="1" applyBorder="1" applyAlignment="1" applyProtection="1">
      <alignment horizontal="center" vertical="center" readingOrder="2"/>
      <protection hidden="1"/>
    </xf>
    <xf numFmtId="0" fontId="16" fillId="29" borderId="57" xfId="0" applyFont="1" applyFill="1" applyBorder="1" applyAlignment="1" applyProtection="1">
      <alignment horizontal="center" vertical="center" readingOrder="2"/>
      <protection hidden="1"/>
    </xf>
    <xf numFmtId="0" fontId="16" fillId="13" borderId="64" xfId="0" applyFont="1" applyFill="1" applyBorder="1" applyAlignment="1" applyProtection="1">
      <alignment horizontal="center" vertical="center" readingOrder="2"/>
      <protection hidden="1"/>
    </xf>
    <xf numFmtId="0" fontId="16" fillId="13" borderId="57" xfId="0" applyFont="1" applyFill="1" applyBorder="1" applyAlignment="1" applyProtection="1">
      <alignment horizontal="center" vertical="center" readingOrder="2"/>
      <protection hidden="1"/>
    </xf>
    <xf numFmtId="0" fontId="54" fillId="32" borderId="86" xfId="0" applyFont="1" applyFill="1" applyBorder="1" applyAlignment="1" applyProtection="1">
      <alignment horizontal="right" vertical="center" wrapText="1"/>
      <protection hidden="1"/>
    </xf>
    <xf numFmtId="0" fontId="54" fillId="32" borderId="84" xfId="0" applyFont="1" applyFill="1" applyBorder="1" applyAlignment="1" applyProtection="1">
      <alignment horizontal="right" vertical="center" wrapText="1"/>
      <protection hidden="1"/>
    </xf>
    <xf numFmtId="0" fontId="54" fillId="32" borderId="85" xfId="0" applyFont="1" applyFill="1" applyBorder="1" applyAlignment="1" applyProtection="1">
      <alignment horizontal="right" vertical="center" wrapText="1"/>
      <protection hidden="1"/>
    </xf>
    <xf numFmtId="0" fontId="36" fillId="24" borderId="60" xfId="0" applyFont="1" applyFill="1" applyBorder="1" applyAlignment="1" applyProtection="1">
      <alignment horizontal="right" vertical="center" wrapText="1"/>
      <protection hidden="1"/>
    </xf>
    <xf numFmtId="0" fontId="53" fillId="32" borderId="87" xfId="0" applyFont="1" applyFill="1" applyBorder="1" applyAlignment="1" applyProtection="1">
      <alignment horizontal="right" vertical="center"/>
      <protection hidden="1"/>
    </xf>
    <xf numFmtId="0" fontId="53" fillId="32" borderId="83" xfId="0" applyFont="1" applyFill="1" applyBorder="1" applyAlignment="1" applyProtection="1">
      <alignment horizontal="right" vertical="center"/>
      <protection hidden="1"/>
    </xf>
    <xf numFmtId="0" fontId="53" fillId="32" borderId="88" xfId="0" applyFont="1" applyFill="1" applyBorder="1" applyAlignment="1" applyProtection="1">
      <alignment horizontal="right" vertical="center"/>
      <protection hidden="1"/>
    </xf>
    <xf numFmtId="0" fontId="51" fillId="32" borderId="87" xfId="0" applyFont="1" applyFill="1" applyBorder="1" applyAlignment="1" applyProtection="1">
      <alignment horizontal="right" vertical="center" readingOrder="2"/>
      <protection hidden="1"/>
    </xf>
    <xf numFmtId="0" fontId="51" fillId="32" borderId="83" xfId="0" applyFont="1" applyFill="1" applyBorder="1" applyAlignment="1" applyProtection="1">
      <alignment horizontal="right" vertical="center" readingOrder="2"/>
      <protection hidden="1"/>
    </xf>
    <xf numFmtId="0" fontId="51" fillId="32" borderId="88" xfId="0" applyFont="1" applyFill="1" applyBorder="1" applyAlignment="1" applyProtection="1">
      <alignment horizontal="right" vertical="center" readingOrder="2"/>
      <protection hidden="1"/>
    </xf>
    <xf numFmtId="0" fontId="65" fillId="24" borderId="60" xfId="0" applyFont="1" applyFill="1" applyBorder="1" applyAlignment="1" applyProtection="1">
      <alignment horizontal="right" vertical="center" wrapText="1"/>
      <protection hidden="1"/>
    </xf>
    <xf numFmtId="0" fontId="29" fillId="24" borderId="60" xfId="0" applyFont="1" applyFill="1" applyBorder="1" applyAlignment="1" applyProtection="1">
      <alignment horizontal="right" vertical="center" wrapText="1"/>
      <protection hidden="1"/>
    </xf>
    <xf numFmtId="0" fontId="45" fillId="13" borderId="60" xfId="0" applyFont="1" applyFill="1" applyBorder="1" applyAlignment="1" applyProtection="1">
      <alignment horizontal="right" vertical="center" wrapText="1"/>
      <protection hidden="1"/>
    </xf>
    <xf numFmtId="0" fontId="65" fillId="19" borderId="0" xfId="0" applyFont="1" applyFill="1" applyAlignment="1" applyProtection="1">
      <alignment horizontal="right" vertical="center" readingOrder="2"/>
      <protection hidden="1"/>
    </xf>
    <xf numFmtId="0" fontId="48" fillId="24" borderId="32" xfId="0" applyFont="1" applyFill="1" applyBorder="1" applyAlignment="1" applyProtection="1">
      <alignment horizontal="right" vertical="center" wrapText="1"/>
      <protection hidden="1"/>
    </xf>
    <xf numFmtId="0" fontId="48" fillId="24" borderId="0" xfId="0" applyFont="1" applyFill="1" applyAlignment="1" applyProtection="1">
      <alignment horizontal="right" vertical="center" wrapText="1"/>
      <protection hidden="1"/>
    </xf>
    <xf numFmtId="0" fontId="37" fillId="24" borderId="32" xfId="0" applyFont="1" applyFill="1" applyBorder="1" applyAlignment="1" applyProtection="1">
      <alignment horizontal="right" vertical="center" wrapText="1"/>
      <protection hidden="1"/>
    </xf>
    <xf numFmtId="0" fontId="37" fillId="24" borderId="0" xfId="0" applyFont="1" applyFill="1" applyAlignment="1" applyProtection="1">
      <alignment horizontal="right" vertical="center" wrapText="1"/>
      <protection hidden="1"/>
    </xf>
    <xf numFmtId="0" fontId="37" fillId="24" borderId="42" xfId="0" applyFont="1" applyFill="1" applyBorder="1" applyAlignment="1" applyProtection="1">
      <alignment horizontal="right" vertical="center" wrapText="1"/>
      <protection hidden="1"/>
    </xf>
  </cellXfs>
  <cellStyles count="2">
    <cellStyle name="Hyperlink" xfId="1" builtinId="8"/>
    <cellStyle name="Normal" xfId="0" builtinId="0"/>
  </cellStyles>
  <dxfs count="35">
    <dxf>
      <font>
        <color rgb="FFB3261E"/>
      </font>
      <fill>
        <patternFill patternType="solid">
          <fgColor indexed="64"/>
          <bgColor rgb="FFFFF0EE"/>
        </patternFill>
      </fill>
    </dxf>
    <dxf>
      <font>
        <color rgb="FF087A58"/>
      </font>
      <fill>
        <patternFill patternType="solid">
          <fgColor indexed="64"/>
          <bgColor rgb="FFE8F8F1"/>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b/>
        <color rgb="FFB3261E"/>
      </font>
      <fill>
        <patternFill>
          <bgColor rgb="FFFFF0EE"/>
        </patternFill>
      </fill>
    </dxf>
    <dxf>
      <font>
        <b/>
        <color rgb="FF087A58"/>
      </font>
      <fill>
        <patternFill>
          <bgColor rgb="FFE8F8F1"/>
        </patternFill>
      </fill>
    </dxf>
    <dxf>
      <font>
        <color rgb="FFB3261E"/>
      </font>
      <fill>
        <patternFill patternType="solid">
          <fgColor indexed="64"/>
          <bgColor rgb="FFFFF0EE"/>
        </patternFill>
      </fill>
    </dxf>
    <dxf>
      <font>
        <color rgb="FFFFFFFF"/>
      </font>
      <fill>
        <patternFill patternType="solid">
          <fgColor indexed="64"/>
          <bgColor rgb="FFFFFFFF"/>
        </patternFill>
      </fill>
      <border>
        <left style="thin">
          <color rgb="FFFFFFFF"/>
        </left>
        <right style="thin">
          <color rgb="FFFFFFFF"/>
        </right>
        <top style="thin">
          <color rgb="FFFFFFFF"/>
        </top>
        <bottom style="thin">
          <color rgb="FFFFFFFF"/>
        </bottom>
      </border>
    </dxf>
    <dxf>
      <font>
        <color rgb="FFFFFFFF"/>
      </font>
      <fill>
        <patternFill patternType="solid">
          <fgColor indexed="64"/>
          <bgColor rgb="FFFFFFFF"/>
        </patternFill>
      </fill>
      <border>
        <left style="thin">
          <color rgb="FFFFFFFF"/>
        </left>
        <right style="thin">
          <color rgb="FFFFFFFF"/>
        </right>
        <top style="thin">
          <color rgb="FFFFFFFF"/>
        </top>
        <bottom style="thin">
          <color rgb="FFFFFFFF"/>
        </bottom>
      </border>
    </dxf>
    <dxf>
      <font>
        <color rgb="FFFFFFFF"/>
      </font>
      <fill>
        <patternFill patternType="solid">
          <fgColor indexed="64"/>
          <bgColor rgb="FFFFFFFF"/>
        </patternFill>
      </fill>
      <border>
        <left style="thin">
          <color rgb="FFFFFFFF"/>
        </left>
        <right style="thin">
          <color rgb="FFFFFFFF"/>
        </right>
        <top style="thin">
          <color rgb="FFFFFFFF"/>
        </top>
        <bottom style="thin">
          <color rgb="FFFFFFFF"/>
        </bottom>
      </border>
    </dxf>
    <dxf>
      <font>
        <color rgb="FFB3261E"/>
      </font>
      <fill>
        <patternFill patternType="solid">
          <fgColor indexed="64"/>
          <bgColor rgb="FFFFF0EE"/>
        </patternFill>
      </fill>
    </dxf>
    <dxf>
      <font>
        <color rgb="FF087A58"/>
      </font>
      <fill>
        <patternFill patternType="solid">
          <fgColor indexed="64"/>
          <bgColor rgb="FFE8F8F1"/>
        </patternFill>
      </fill>
    </dxf>
    <dxf>
      <font>
        <color rgb="FFB3261E"/>
      </font>
      <fill>
        <patternFill patternType="solid">
          <fgColor indexed="64"/>
          <bgColor rgb="FFFFF0EE"/>
        </patternFill>
      </fill>
    </dxf>
    <dxf>
      <font>
        <color rgb="FF087A58"/>
      </font>
      <fill>
        <patternFill patternType="solid">
          <fgColor indexed="64"/>
          <bgColor rgb="FFE8F8F1"/>
        </patternFill>
      </fill>
    </dxf>
    <dxf>
      <font>
        <color rgb="FFB3261E"/>
      </font>
      <fill>
        <patternFill patternType="solid">
          <fgColor indexed="64"/>
          <bgColor rgb="FFFFF0EE"/>
        </patternFill>
      </fill>
    </dxf>
    <dxf>
      <font>
        <color rgb="FFB3261E"/>
      </font>
      <fill>
        <patternFill patternType="solid">
          <fgColor indexed="64"/>
          <bgColor rgb="FFFFF0EE"/>
        </patternFill>
      </fill>
    </dxf>
    <dxf>
      <font>
        <color rgb="FF087A58"/>
      </font>
      <fill>
        <patternFill patternType="solid">
          <fgColor indexed="64"/>
          <bgColor rgb="FFE8F8F1"/>
        </patternFill>
      </fill>
    </dxf>
    <dxf>
      <font>
        <color rgb="FF17213A"/>
      </font>
      <fill>
        <patternFill patternType="solid">
          <fgColor indexed="64"/>
          <bgColor rgb="FFFFFFFF"/>
        </patternFill>
      </fill>
      <border>
        <left style="thin">
          <color rgb="FFC9D4EA"/>
        </left>
        <right style="thin">
          <color rgb="FFC9D4EA"/>
        </right>
        <top style="thin">
          <color rgb="FFC9D4EA"/>
        </top>
        <bottom style="thin">
          <color rgb="FFC9D4EA"/>
        </bottom>
      </border>
    </dxf>
    <dxf>
      <font>
        <color rgb="FF17213A"/>
      </font>
      <fill>
        <patternFill patternType="solid">
          <fgColor indexed="64"/>
          <bgColor rgb="FFFFFFFF"/>
        </patternFill>
      </fill>
      <border>
        <left style="thin">
          <color rgb="FFC9D4EA"/>
        </left>
        <right style="thin">
          <color rgb="FFC9D4EA"/>
        </right>
        <top style="thin">
          <color rgb="FFC9D4EA"/>
        </top>
        <bottom style="thin">
          <color rgb="FFC9D4EA"/>
        </bottom>
      </border>
    </dxf>
    <dxf>
      <font>
        <color rgb="FFFFFFFF"/>
      </font>
      <numFmt numFmtId="176" formatCode=";;;"/>
      <fill>
        <patternFill patternType="solid">
          <fgColor indexed="64"/>
          <bgColor rgb="FFFFFFFF"/>
        </patternFill>
      </fill>
      <border>
        <left style="thin">
          <color rgb="FFFFFFFF"/>
        </left>
        <right style="thin">
          <color rgb="FFFFFFFF"/>
        </right>
        <top style="thin">
          <color rgb="FFFFFFFF"/>
        </top>
        <bottom style="thin">
          <color rgb="FFFFFFFF"/>
        </bottom>
      </border>
    </dxf>
    <dxf>
      <font>
        <b/>
        <color rgb="FFB3261E"/>
      </font>
      <fill>
        <patternFill>
          <bgColor rgb="FFFFF0EE"/>
        </patternFill>
      </fill>
    </dxf>
    <dxf>
      <font>
        <b/>
        <color rgb="FF087A58"/>
      </font>
      <fill>
        <patternFill>
          <bgColor rgb="FFE8F8F1"/>
        </patternFill>
      </fill>
    </dxf>
    <dxf>
      <font>
        <b/>
        <color rgb="FF087A58"/>
      </font>
      <fill>
        <patternFill>
          <bgColor rgb="FFE8F8F1"/>
        </patternFill>
      </fill>
    </dxf>
    <dxf>
      <font>
        <b/>
        <color rgb="FF087A58"/>
      </font>
      <fill>
        <patternFill>
          <bgColor rgb="FFE8F8F1"/>
        </patternFill>
      </fill>
    </dxf>
    <dxf>
      <font>
        <b/>
        <color rgb="FF087A58"/>
      </font>
      <fill>
        <patternFill>
          <bgColor rgb="FFE8F8F1"/>
        </patternFill>
      </fill>
    </dxf>
  </dxfs>
  <tableStyles count="0" defaultTableStyle="TableStyleMedium2" defaultPivotStyle="PivotStyleLight16"/>
  <colors>
    <indexedColors>
      <rgbColor rgb="FF000000"/>
      <rgbColor rgb="FFFFFFFF"/>
      <rgbColor rgb="FFFF0000"/>
      <rgbColor rgb="FF00FF00"/>
      <rgbColor rgb="FF0000FF"/>
      <rgbColor rgb="FFFFF7D8"/>
      <rgbColor rgb="FFFF00FF"/>
      <rgbColor rgb="FF00FFFF"/>
      <rgbColor rgb="FF800000"/>
      <rgbColor rgb="FF008000"/>
      <rgbColor rgb="FF0A0B78"/>
      <rgbColor rgb="FF8A5B00"/>
      <rgbColor rgb="FF800080"/>
      <rgbColor rgb="FF087A58"/>
      <rgbColor rgb="FFBAC8DC"/>
      <rgbColor rgb="FF808080"/>
      <rgbColor rgb="FFEAF0FF"/>
      <rgbColor rgb="FF993366"/>
      <rgbColor rgb="FFFFFBD0"/>
      <rgbColor rgb="FFE8F8F1"/>
      <rgbColor rgb="FF660066"/>
      <rgbColor rgb="FFEEF6FF"/>
      <rgbColor rgb="FF1769D2"/>
      <rgbColor rgb="FFCBD6E7"/>
      <rgbColor rgb="FF0B0D6F"/>
      <rgbColor rgb="FFFF00FF"/>
      <rgbColor rgb="FFFFF9D9"/>
      <rgbColor rgb="FF00FFFF"/>
      <rgbColor rgb="FF800080"/>
      <rgbColor rgb="FF800000"/>
      <rgbColor rgb="FF008080"/>
      <rgbColor rgb="FF0000FF"/>
      <rgbColor rgb="FF00CCFF"/>
      <rgbColor rgb="FFE9F8F2"/>
      <rgbColor rgb="FFE8EDF5"/>
      <rgbColor rgb="FFFFF7CC"/>
      <rgbColor rgb="FFD9E2F0"/>
      <rgbColor rgb="FFFFF0EE"/>
      <rgbColor rgb="FFE8EEF9"/>
      <rgbColor rgb="FFD6C45C"/>
      <rgbColor rgb="FF3366FF"/>
      <rgbColor rgb="FFFAFBFD"/>
      <rgbColor rgb="FFEDF6FF"/>
      <rgbColor rgb="FFF0F3FA"/>
      <rgbColor rgb="FFF8FAFD"/>
      <rgbColor rgb="FFFF6600"/>
      <rgbColor rgb="FF66738C"/>
      <rgbColor rgb="FFEEF2FF"/>
      <rgbColor rgb="FF0A2F78"/>
      <rgbColor rgb="FF339966"/>
      <rgbColor rgb="FF003300"/>
      <rgbColor rgb="FF333300"/>
      <rgbColor rgb="FFB3261E"/>
      <rgbColor rgb="FF993366"/>
      <rgbColor rgb="FF1B218F"/>
      <rgbColor rgb="FF17213A"/>
      <rgbColor rgb="00003366"/>
      <rgbColor rgb="00339966"/>
      <rgbColor rgb="00003300"/>
      <rgbColor rgb="00333300"/>
      <rgbColor rgb="00993300"/>
      <rgbColor rgb="00993366"/>
      <rgbColor rgb="00333399"/>
      <rgbColor rgb="00333333"/>
    </indexedColors>
    <mruColors>
      <color rgb="FF1B218F"/>
      <color rgb="FFFDE9D9"/>
      <color rgb="FFE8EEF9"/>
      <color rgb="FFFCDEC6"/>
      <color rgb="FFFEF4EC"/>
      <color rgb="FFFFF7CC"/>
      <color rgb="FFEDF6FF"/>
      <color rgb="FFE8F8F1"/>
      <color rgb="FFE8FAFD"/>
      <color rgb="FFF8F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25399</xdr:rowOff>
    </xdr:from>
    <xdr:to>
      <xdr:col>11</xdr:col>
      <xdr:colOff>0</xdr:colOff>
      <xdr:row>3</xdr:row>
      <xdr:rowOff>181049</xdr:rowOff>
    </xdr:to>
    <xdr:pic>
      <xdr:nvPicPr>
        <xdr:cNvPr id="2" name="banner-guide" descr="רשות החדשנות - מסלול מהיר&#10;">
          <a:extLst>
            <a:ext uri="{FF2B5EF4-FFF2-40B4-BE49-F238E27FC236}">
              <a16:creationId xmlns:a16="http://schemas.microsoft.com/office/drawing/2014/main" id="{71BA6F4B-07CD-F500-1904-E74453CD6C9E}"/>
            </a:ext>
          </a:extLst>
        </xdr:cNvPr>
        <xdr:cNvPicPr>
          <a:picLocks noChangeAspect="1"/>
        </xdr:cNvPicPr>
      </xdr:nvPicPr>
      <xdr:blipFill>
        <a:blip xmlns:r="http://schemas.openxmlformats.org/officeDocument/2006/relationships" r:embed="rId1"/>
        <a:stretch>
          <a:fillRect/>
        </a:stretch>
      </xdr:blipFill>
      <xdr:spPr>
        <a:xfrm>
          <a:off x="9511465841" y="25399"/>
          <a:ext cx="11343408" cy="986923"/>
        </a:xfrm>
        <a:prstGeom prst="rect">
          <a:avLst/>
        </a:prstGeom>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a:fillStyleLst>
        <a:solidFill>
          <a:schemeClr val="phClr"/>
        </a:solidFill>
        <a:solidFill>
          <a:schemeClr val="dk1"/>
        </a:solidFill>
        <a:solidFill>
          <a:schemeClr val="accent1"/>
        </a:soli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03"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D74C6F1-73D3-4611-8D68-B45C361EC70B}">
  <we:reference id="WA200010725" version="1.0.0.1" store="Omex" storeType="OMEX"/>
  <we:alternateReferences>
    <we:reference id="WA200010725" version="1.0.0.1" store="WA200010725" storeType="OMEX"/>
  </we:alternateReferences>
  <we:properties>
    <we:property name="claude.fileId" value="&quot;17965be1-8b97-433f-bd70-a78242744f07&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56"/>
  <sheetViews>
    <sheetView showGridLines="0" rightToLeft="1" tabSelected="1" zoomScale="110" zoomScaleNormal="110" workbookViewId="0"/>
  </sheetViews>
  <sheetFormatPr defaultColWidth="0" defaultRowHeight="15" zeroHeight="1" x14ac:dyDescent="0.25"/>
  <cols>
    <col min="1" max="1" width="5" customWidth="1"/>
    <col min="2" max="2" width="28" customWidth="1"/>
    <col min="3" max="4" width="16" customWidth="1"/>
    <col min="5" max="5" width="3" customWidth="1"/>
    <col min="6" max="11" width="17" customWidth="1"/>
    <col min="12" max="12" width="1.7109375" customWidth="1"/>
    <col min="13" max="18" width="18.7109375" hidden="1" customWidth="1"/>
    <col min="19" max="19" width="137.140625" hidden="1" customWidth="1"/>
    <col min="20" max="20" width="1.7109375" hidden="1" customWidth="1"/>
    <col min="21" max="23" width="0" hidden="1" customWidth="1"/>
    <col min="24" max="16384" width="8.7109375" hidden="1"/>
  </cols>
  <sheetData>
    <row r="1" spans="1:19" ht="21.95" customHeight="1" thickBot="1" x14ac:dyDescent="0.3"/>
    <row r="2" spans="1:19" ht="21.95" customHeight="1" x14ac:dyDescent="0.25">
      <c r="M2" s="7" t="s">
        <v>462</v>
      </c>
      <c r="N2" s="8" t="s">
        <v>463</v>
      </c>
      <c r="O2" s="9" t="s">
        <v>464</v>
      </c>
      <c r="P2" s="9" t="s">
        <v>465</v>
      </c>
      <c r="Q2" s="10" t="s">
        <v>466</v>
      </c>
      <c r="R2" s="11" t="s">
        <v>467</v>
      </c>
      <c r="S2" s="12" t="s">
        <v>468</v>
      </c>
    </row>
    <row r="3" spans="1:19" ht="21.95" customHeight="1" thickBot="1" x14ac:dyDescent="0.3">
      <c r="M3" s="13">
        <f>template_time</f>
        <v>0.18263888888888888</v>
      </c>
      <c r="N3" s="14">
        <f>template_date</f>
        <v>46120</v>
      </c>
      <c r="O3" s="15" t="s">
        <v>504</v>
      </c>
      <c r="P3" s="15" t="s">
        <v>473</v>
      </c>
      <c r="Q3" s="16" t="s">
        <v>474</v>
      </c>
      <c r="R3" s="17" t="str">
        <f>TEXT(R5, "YY.MM.DD") &amp;"." &amp; TEXT(R6,"hh.mm")</f>
        <v>26.04.08.04.23</v>
      </c>
      <c r="S3" s="26" t="s">
        <v>469</v>
      </c>
    </row>
    <row r="4" spans="1:19" ht="21.95" customHeight="1" thickBot="1" x14ac:dyDescent="0.3">
      <c r="M4" s="18"/>
      <c r="N4" s="18"/>
      <c r="O4" s="18"/>
      <c r="P4" s="18"/>
      <c r="Q4" s="18"/>
      <c r="R4" s="19"/>
      <c r="S4" s="18"/>
    </row>
    <row r="5" spans="1:19" ht="36" customHeight="1" thickBot="1" x14ac:dyDescent="0.3">
      <c r="A5" s="360" t="s">
        <v>405</v>
      </c>
      <c r="B5" s="360"/>
      <c r="C5" s="360"/>
      <c r="D5" s="360"/>
      <c r="E5" s="360"/>
      <c r="F5" s="360"/>
      <c r="G5" s="360"/>
      <c r="H5" s="360"/>
      <c r="I5" s="360"/>
      <c r="J5" s="360"/>
      <c r="K5" s="360"/>
      <c r="M5" s="18"/>
      <c r="N5" s="18"/>
      <c r="O5" s="31" t="s">
        <v>470</v>
      </c>
      <c r="P5" s="20"/>
      <c r="Q5" s="22" t="s">
        <v>471</v>
      </c>
      <c r="R5" s="23">
        <v>46120</v>
      </c>
    </row>
    <row r="6" spans="1:19" ht="20.100000000000001" customHeight="1" thickBot="1" x14ac:dyDescent="0.3">
      <c r="A6" s="259"/>
      <c r="B6" s="259"/>
      <c r="C6" s="259"/>
      <c r="D6" s="259"/>
      <c r="E6" s="259"/>
      <c r="F6" s="259"/>
      <c r="G6" s="259"/>
      <c r="H6" s="259"/>
      <c r="I6" s="27" t="s">
        <v>475</v>
      </c>
      <c r="J6" s="29" t="str">
        <f>template_vers</f>
        <v>1046</v>
      </c>
      <c r="K6" s="259"/>
      <c r="M6" s="18"/>
      <c r="N6" s="18"/>
      <c r="O6" s="32" t="str">
        <f>template_vers</f>
        <v>1046</v>
      </c>
      <c r="P6" s="20"/>
      <c r="Q6" s="24" t="s">
        <v>472</v>
      </c>
      <c r="R6" s="25">
        <v>0.18263888888888888</v>
      </c>
    </row>
    <row r="7" spans="1:19" ht="20.100000000000001" customHeight="1" thickBot="1" x14ac:dyDescent="0.3">
      <c r="A7" s="259"/>
      <c r="B7" s="259"/>
      <c r="C7" s="259"/>
      <c r="D7" s="259"/>
      <c r="E7" s="259"/>
      <c r="F7" s="259"/>
      <c r="G7" s="259"/>
      <c r="H7" s="259"/>
      <c r="I7" s="28" t="s">
        <v>476</v>
      </c>
      <c r="J7" s="30">
        <f>N3</f>
        <v>46120</v>
      </c>
      <c r="K7" s="259"/>
      <c r="M7" s="18"/>
      <c r="N7" s="18"/>
      <c r="O7" s="20"/>
      <c r="P7" s="20"/>
      <c r="Q7" s="20"/>
      <c r="R7" s="19"/>
    </row>
    <row r="8" spans="1:19" ht="15" customHeight="1" x14ac:dyDescent="0.25">
      <c r="A8" s="259"/>
      <c r="B8" s="259"/>
      <c r="C8" s="259"/>
      <c r="D8" s="259"/>
      <c r="E8" s="259"/>
      <c r="F8" s="259"/>
      <c r="G8" s="259"/>
      <c r="H8" s="259"/>
      <c r="I8" s="259"/>
      <c r="J8" s="259"/>
      <c r="K8" s="259"/>
      <c r="M8" s="18"/>
      <c r="N8" s="18"/>
      <c r="O8" s="20"/>
      <c r="P8" s="20"/>
      <c r="Q8" s="20"/>
      <c r="R8" s="19"/>
    </row>
    <row r="9" spans="1:19" ht="24" customHeight="1" x14ac:dyDescent="0.25">
      <c r="A9" s="361" t="s">
        <v>0</v>
      </c>
      <c r="B9" s="361"/>
      <c r="C9" s="361"/>
      <c r="D9" s="361"/>
      <c r="E9" s="361"/>
      <c r="F9" s="361"/>
      <c r="G9" s="361"/>
      <c r="H9" s="361"/>
      <c r="I9" s="361"/>
      <c r="J9" s="361"/>
      <c r="K9" s="361"/>
      <c r="M9" s="20"/>
      <c r="N9" s="20"/>
      <c r="S9" s="21"/>
    </row>
    <row r="10" spans="1:19" ht="24" customHeight="1" x14ac:dyDescent="0.25">
      <c r="A10" s="362" t="s">
        <v>1</v>
      </c>
      <c r="B10" s="362"/>
      <c r="C10" s="362"/>
      <c r="D10" s="362"/>
      <c r="E10" s="362"/>
      <c r="F10" s="362"/>
      <c r="G10" s="2"/>
      <c r="H10" s="2"/>
      <c r="I10" s="2"/>
      <c r="J10" s="2"/>
      <c r="K10" s="2"/>
      <c r="M10" s="20"/>
      <c r="N10" s="20"/>
      <c r="S10" s="21"/>
    </row>
    <row r="11" spans="1:19" ht="31.5" customHeight="1" x14ac:dyDescent="0.25">
      <c r="A11" s="362" t="s">
        <v>2</v>
      </c>
      <c r="B11" s="362"/>
      <c r="C11" s="362"/>
      <c r="D11" s="362"/>
      <c r="E11" s="362"/>
      <c r="F11" s="362"/>
      <c r="G11" s="3" t="s">
        <v>3</v>
      </c>
      <c r="H11" s="3" t="s">
        <v>4</v>
      </c>
      <c r="I11" s="3" t="s">
        <v>5</v>
      </c>
      <c r="J11" s="3" t="s">
        <v>6</v>
      </c>
      <c r="K11" s="3" t="s">
        <v>7</v>
      </c>
    </row>
    <row r="12" spans="1:19" ht="21.75" customHeight="1" x14ac:dyDescent="0.25">
      <c r="A12" s="362" t="s">
        <v>8</v>
      </c>
      <c r="B12" s="362"/>
      <c r="C12" s="362"/>
      <c r="D12" s="362"/>
      <c r="E12" s="362"/>
      <c r="F12" s="362"/>
      <c r="G12" s="4" t="str">
        <f>IF(COUNT('2.3 מצב כספי'!C7:C16)+COUNT('2.3 מצב כספי'!C18:C21)+COUNT('2.3 מצב כספי'!J7:J15)+COUNT('2.3 מצב כספי'!J17:J18)+COUNT('2.3 מצב כספי'!J20:J23)&gt;=29,"✓ הושלם","• להשלמה")</f>
        <v>• להשלמה</v>
      </c>
      <c r="H12" s="4" t="str">
        <f>IF(COUNTIF('4. תנאי סף'!$B$6,"✗")+COUNTIF('4. תנאי סף'!$F$6,"✗")+COUNTIF('4. תנאי סף'!$B$9,"✗")+COUNTIF('4. תנאי סף'!$F$9,"✗")+COUNTIF('4. תנאי סף'!$B$12,"✗")+COUNTIF('4. תנאי סף'!$F$12,"✗")&gt;0,"✕ נדרש תיקון",IF(COUNTIF('4. תנאי סף'!$B$6,"✓")+COUNTIF('4. תנאי סף'!$F$6,"✓")+COUNTIF('4. תנאי סף'!$B$9,"✓")+COUNTIF('4. תנאי סף'!$F$9,"✓")+COUNTIF('4. תנאי סף'!$B$12,"✓")+COUNTIF('4. תנאי סף'!$F$12,"✓")+COUNTIF('4. תנאי סף'!$B$6,"•")+COUNTIF('4. תנאי סף'!$F$6,"•")+COUNTIF('4. תנאי סף'!$B$9,"•")+COUNTIF('4. תנאי סף'!$F$9,"•")+COUNTIF('4. תנאי סף'!$B$12,"•")+COUNTIF('4. תנאי סף'!$F$12,"•")=6,"✓ עבר","• טרם הושלם"))</f>
        <v>✕ נדרש תיקון</v>
      </c>
      <c r="I12" s="4" t="str">
        <f>IFERROR(IF('3. אופק שרידות'!C50="מתקיים","✓ עומד",IF('3. אופק שרידות'!C50="לא מתקיים","✕ לא עומד","• טרם חושב")),"• טרם חושב")</f>
        <v>✓ עומד</v>
      </c>
      <c r="J12" s="4" t="str">
        <f>IFERROR(IF(N('5. קצב הוצאות צפוי'!C38)&gt;0,"✓ חושב","• להשלמה"),"• להשלמה")</f>
        <v>• להשלמה</v>
      </c>
      <c r="K12" s="4" t="str">
        <f>IFERROR(IF(N('6 חישוב מענק'!D16)&gt;0,"✓ חושב","• טרם חושב"),"• טרם חושב")</f>
        <v>• טרם חושב</v>
      </c>
    </row>
    <row r="13" spans="1:19" ht="24.75" customHeight="1" x14ac:dyDescent="0.25">
      <c r="A13" s="362" t="s">
        <v>9</v>
      </c>
      <c r="B13" s="362"/>
      <c r="C13" s="362"/>
      <c r="D13" s="362"/>
      <c r="E13" s="362"/>
      <c r="F13" s="362"/>
      <c r="G13" s="5"/>
      <c r="H13" s="5"/>
      <c r="I13" s="5"/>
      <c r="J13" s="5"/>
      <c r="K13" s="5"/>
    </row>
    <row r="14" spans="1:19" ht="24.75" customHeight="1" x14ac:dyDescent="0.25">
      <c r="A14" s="362" t="s">
        <v>10</v>
      </c>
      <c r="B14" s="362"/>
      <c r="C14" s="362"/>
      <c r="D14" s="362"/>
      <c r="E14" s="362"/>
      <c r="F14" s="362"/>
      <c r="G14" s="1"/>
      <c r="H14" s="357" t="s">
        <v>11</v>
      </c>
      <c r="I14" s="357"/>
      <c r="J14" s="357" t="s">
        <v>12</v>
      </c>
      <c r="K14" s="357"/>
    </row>
    <row r="15" spans="1:19" ht="22.5" customHeight="1" x14ac:dyDescent="0.25">
      <c r="A15" s="5"/>
      <c r="B15" s="5"/>
      <c r="C15" s="5"/>
      <c r="D15" s="5"/>
      <c r="E15" s="5"/>
      <c r="F15" s="6">
        <f>IFERROR(SUM(IF(COUNTA('2.1 פרטי בקשה'!C4:C6)=4,1,0),IF(COUNT('2.3 מצב כספי'!C7:C16)+COUNT('2.3 מצב כספי'!C18:C21)+COUNT('2.3 מצב כספי'!J7:J15)+COUNT('2.3 מצב כספי'!J17:J18)+COUNT('2.3 מצב כספי'!J20:J23)&gt;=29,1,0),IF(COUNTIF('4. תנאי סף'!$B$6,"✓")+COUNTIF('4. תנאי סף'!$F$6,"✓")+COUNTIF('4. תנאי סף'!$B$9,"✓")+COUNTIF('4. תנאי סף'!$F$9,"✓")+COUNTIF('4. תנאי סף'!$B$12,"✓")+COUNTIF('4. תנאי סף'!$F$12,"✓")+COUNTIF('4. תנאי סף'!$B$6,"•")+COUNTIF('4. תנאי סף'!$F$6,"•")+COUNTIF('4. תנאי סף'!$B$9,"•")+COUNTIF('4. תנאי סף'!$F$9,"•")+COUNTIF('4. תנאי סף'!$B$12,"•")+COUNTIF('4. תנאי סף'!$F$12,"•")=6,1,0),IF('3. אופק שרידות'!C50&lt;&gt;"",1,0),IF(N('5. קצב הוצאות צפוי'!C38)&gt;0,1,0),IF(COUNTA(#REF!)+COUNTIF(#REF!,"כן")=4,1,0))/6,0)</f>
        <v>0</v>
      </c>
      <c r="G15" s="6"/>
      <c r="H15" s="358">
        <f>IFERROR(N('3. אופק שרידות'!C49),0)</f>
        <v>0</v>
      </c>
      <c r="I15" s="358"/>
      <c r="J15" s="359">
        <f>IFERROR(N('6 חישוב מענק'!D16),0)</f>
        <v>0</v>
      </c>
      <c r="K15" s="359"/>
    </row>
    <row r="16" spans="1:19" ht="24" customHeight="1" x14ac:dyDescent="0.25">
      <c r="A16" s="35" t="s">
        <v>13</v>
      </c>
      <c r="B16" s="2"/>
      <c r="C16" s="2"/>
      <c r="D16" s="2"/>
      <c r="E16" s="2"/>
      <c r="F16" s="2"/>
      <c r="G16" s="6"/>
      <c r="H16" s="358"/>
      <c r="I16" s="358"/>
      <c r="J16" s="359"/>
      <c r="K16" s="359"/>
    </row>
    <row r="17" spans="1:11" x14ac:dyDescent="0.25">
      <c r="A17" s="37" t="s">
        <v>14</v>
      </c>
      <c r="B17" s="36"/>
      <c r="C17" s="36"/>
      <c r="D17" s="363">
        <v>12</v>
      </c>
      <c r="E17" s="363"/>
      <c r="F17" s="363"/>
      <c r="G17" s="5"/>
      <c r="H17" s="5"/>
      <c r="I17" s="5"/>
      <c r="J17" s="5"/>
      <c r="K17" s="5"/>
    </row>
    <row r="18" spans="1:11" ht="15" customHeight="1" x14ac:dyDescent="0.25">
      <c r="A18" s="38" t="s">
        <v>15</v>
      </c>
      <c r="B18" s="39"/>
      <c r="C18" s="40"/>
      <c r="D18" s="364">
        <v>6</v>
      </c>
      <c r="E18" s="364"/>
      <c r="F18" s="364"/>
      <c r="G18" s="5"/>
      <c r="H18" s="5"/>
      <c r="I18" s="5"/>
      <c r="J18" s="5"/>
      <c r="K18" s="5"/>
    </row>
    <row r="19" spans="1:11" ht="15" customHeight="1" x14ac:dyDescent="0.25">
      <c r="A19" s="38" t="s">
        <v>16</v>
      </c>
      <c r="B19" s="39"/>
      <c r="C19" s="40"/>
      <c r="D19" s="356">
        <v>0.5</v>
      </c>
      <c r="E19" s="356"/>
      <c r="F19" s="356"/>
      <c r="G19" s="5"/>
      <c r="H19" s="5"/>
      <c r="I19" s="5"/>
      <c r="J19" s="5"/>
      <c r="K19" s="5"/>
    </row>
    <row r="20" spans="1:11" ht="15" customHeight="1" x14ac:dyDescent="0.25">
      <c r="A20" s="38" t="s">
        <v>17</v>
      </c>
      <c r="B20" s="39"/>
      <c r="C20" s="40"/>
      <c r="D20" s="352">
        <v>1500000</v>
      </c>
      <c r="E20" s="352"/>
      <c r="F20" s="352"/>
      <c r="G20" s="5"/>
      <c r="H20" s="5"/>
      <c r="I20" s="5"/>
      <c r="J20" s="5"/>
      <c r="K20" s="5"/>
    </row>
    <row r="21" spans="1:11" ht="15" customHeight="1" x14ac:dyDescent="0.25">
      <c r="A21" s="38" t="s">
        <v>18</v>
      </c>
      <c r="B21" s="39"/>
      <c r="C21" s="40"/>
      <c r="D21" s="352">
        <v>100000000</v>
      </c>
      <c r="E21" s="352"/>
      <c r="F21" s="352"/>
      <c r="G21" s="5"/>
      <c r="H21" s="5"/>
      <c r="I21" s="5"/>
      <c r="J21" s="5"/>
      <c r="K21" s="5"/>
    </row>
    <row r="22" spans="1:11" ht="15" customHeight="1" x14ac:dyDescent="0.25">
      <c r="A22" s="38" t="s">
        <v>19</v>
      </c>
      <c r="B22" s="39"/>
      <c r="C22" s="40"/>
      <c r="D22" s="356">
        <v>0.4</v>
      </c>
      <c r="E22" s="356"/>
      <c r="F22" s="356"/>
      <c r="G22" s="5"/>
      <c r="H22" s="5"/>
      <c r="I22" s="5"/>
      <c r="J22" s="5"/>
      <c r="K22" s="5"/>
    </row>
    <row r="23" spans="1:11" ht="15" customHeight="1" x14ac:dyDescent="0.25">
      <c r="A23" s="38" t="s">
        <v>20</v>
      </c>
      <c r="B23" s="39"/>
      <c r="C23" s="40"/>
      <c r="D23" s="356">
        <v>0.5</v>
      </c>
      <c r="E23" s="356"/>
      <c r="F23" s="356"/>
      <c r="G23" s="5"/>
      <c r="H23" s="5"/>
      <c r="I23" s="5"/>
      <c r="J23" s="5"/>
      <c r="K23" s="5"/>
    </row>
    <row r="24" spans="1:11" ht="15" customHeight="1" x14ac:dyDescent="0.25">
      <c r="A24" s="38" t="s">
        <v>21</v>
      </c>
      <c r="B24" s="39"/>
      <c r="C24" s="40"/>
      <c r="D24" s="356">
        <v>0.5</v>
      </c>
      <c r="E24" s="356"/>
      <c r="F24" s="356"/>
      <c r="G24" s="5"/>
      <c r="H24" s="5"/>
      <c r="I24" s="5"/>
      <c r="J24" s="5"/>
      <c r="K24" s="5"/>
    </row>
    <row r="25" spans="1:11" ht="15" customHeight="1" x14ac:dyDescent="0.25">
      <c r="A25" s="38" t="s">
        <v>22</v>
      </c>
      <c r="B25" s="39"/>
      <c r="C25" s="40"/>
      <c r="D25" s="352">
        <v>2000000</v>
      </c>
      <c r="E25" s="352"/>
      <c r="F25" s="352"/>
      <c r="G25" s="5"/>
      <c r="H25" s="5"/>
      <c r="I25" s="5"/>
      <c r="J25" s="5"/>
      <c r="K25" s="5"/>
    </row>
    <row r="26" spans="1:11" ht="15" customHeight="1" x14ac:dyDescent="0.25">
      <c r="A26" s="38" t="s">
        <v>23</v>
      </c>
      <c r="B26" s="39"/>
      <c r="C26" s="40"/>
      <c r="D26" s="352">
        <v>15000000</v>
      </c>
      <c r="E26" s="352"/>
      <c r="F26" s="352"/>
      <c r="G26" s="5"/>
      <c r="H26" s="5"/>
      <c r="I26" s="5"/>
      <c r="J26" s="5"/>
      <c r="K26" s="5"/>
    </row>
    <row r="27" spans="1:11" ht="15" customHeight="1" x14ac:dyDescent="0.25">
      <c r="A27" s="38" t="s">
        <v>24</v>
      </c>
      <c r="B27" s="39"/>
      <c r="C27" s="40"/>
      <c r="D27" s="352">
        <v>4000000</v>
      </c>
      <c r="E27" s="352"/>
      <c r="F27" s="352"/>
      <c r="G27" s="5"/>
      <c r="H27" s="5"/>
      <c r="I27" s="5"/>
      <c r="J27" s="5"/>
      <c r="K27" s="5"/>
    </row>
    <row r="28" spans="1:11" x14ac:dyDescent="0.25"/>
    <row r="29" spans="1:11" ht="9.9499999999999993" customHeight="1" x14ac:dyDescent="0.25"/>
    <row r="30" spans="1:11" ht="24" customHeight="1" x14ac:dyDescent="0.25">
      <c r="B30" s="353" t="s">
        <v>430</v>
      </c>
      <c r="C30" s="353"/>
      <c r="D30" s="353"/>
      <c r="E30" s="353"/>
      <c r="F30" s="353"/>
      <c r="G30" s="353"/>
      <c r="H30" s="353"/>
      <c r="I30" s="353"/>
      <c r="J30" s="353"/>
      <c r="K30" s="353"/>
    </row>
    <row r="31" spans="1:11" ht="8.1" customHeight="1" x14ac:dyDescent="0.25"/>
    <row r="32" spans="1:11" ht="20.100000000000001" customHeight="1" x14ac:dyDescent="0.25">
      <c r="B32" s="354" t="s">
        <v>431</v>
      </c>
      <c r="C32" s="355"/>
      <c r="D32" s="355"/>
      <c r="F32" s="349" t="s">
        <v>432</v>
      </c>
      <c r="G32" s="349"/>
      <c r="H32" s="349"/>
      <c r="I32" s="349"/>
      <c r="J32" s="349"/>
      <c r="K32" s="349"/>
    </row>
    <row r="33" spans="2:11" ht="20.100000000000001" customHeight="1" x14ac:dyDescent="0.25">
      <c r="B33" s="355"/>
      <c r="C33" s="355"/>
      <c r="D33" s="355"/>
    </row>
    <row r="34" spans="2:11" ht="15.95" customHeight="1" x14ac:dyDescent="0.25">
      <c r="B34" s="338" t="s">
        <v>445</v>
      </c>
      <c r="C34" s="338"/>
      <c r="D34" s="338"/>
    </row>
    <row r="35" spans="2:11" ht="20.100000000000001" customHeight="1" x14ac:dyDescent="0.25">
      <c r="B35" s="345" t="s">
        <v>433</v>
      </c>
      <c r="C35" s="346"/>
      <c r="D35" s="346"/>
      <c r="F35" s="349" t="s">
        <v>434</v>
      </c>
      <c r="G35" s="349"/>
      <c r="H35" s="349"/>
      <c r="I35" s="349"/>
      <c r="J35" s="349"/>
      <c r="K35" s="349"/>
    </row>
    <row r="36" spans="2:11" ht="20.100000000000001" customHeight="1" x14ac:dyDescent="0.25">
      <c r="B36" s="346"/>
      <c r="C36" s="346"/>
      <c r="D36" s="346"/>
      <c r="F36" s="350" t="str">
        <f>$G$12</f>
        <v>• להשלמה</v>
      </c>
      <c r="G36" s="350"/>
      <c r="H36" s="350"/>
      <c r="I36" s="350"/>
      <c r="J36" s="350"/>
      <c r="K36" s="350"/>
    </row>
    <row r="37" spans="2:11" ht="18" customHeight="1" x14ac:dyDescent="0.25">
      <c r="B37" s="339" t="s">
        <v>446</v>
      </c>
      <c r="C37" s="340"/>
      <c r="D37" s="341"/>
      <c r="F37" s="339" t="s">
        <v>447</v>
      </c>
      <c r="G37" s="340"/>
      <c r="H37" s="341"/>
      <c r="J37" s="351" t="s">
        <v>503</v>
      </c>
      <c r="K37" s="351"/>
    </row>
    <row r="38" spans="2:11" ht="18" customHeight="1" x14ac:dyDescent="0.25">
      <c r="B38" s="339" t="s">
        <v>448</v>
      </c>
      <c r="C38" s="340"/>
      <c r="D38" s="341"/>
      <c r="F38" s="339" t="s">
        <v>449</v>
      </c>
      <c r="G38" s="340"/>
      <c r="H38" s="341"/>
      <c r="J38" s="351"/>
      <c r="K38" s="351"/>
    </row>
    <row r="39" spans="2:11" ht="18" customHeight="1" x14ac:dyDescent="0.25">
      <c r="B39" s="339" t="s">
        <v>450</v>
      </c>
      <c r="C39" s="340"/>
      <c r="D39" s="341"/>
      <c r="F39" s="339" t="s">
        <v>451</v>
      </c>
      <c r="G39" s="340"/>
      <c r="H39" s="341"/>
      <c r="I39" s="41"/>
      <c r="J39" s="351"/>
      <c r="K39" s="351"/>
    </row>
    <row r="40" spans="2:11" ht="18" customHeight="1" x14ac:dyDescent="0.25">
      <c r="B40" s="342" t="s">
        <v>452</v>
      </c>
      <c r="C40" s="343"/>
      <c r="D40" s="344"/>
      <c r="F40" s="342" t="s">
        <v>453</v>
      </c>
      <c r="G40" s="343"/>
      <c r="H40" s="344"/>
      <c r="I40" s="41"/>
      <c r="J40" s="351"/>
      <c r="K40" s="351"/>
    </row>
    <row r="41" spans="2:11" ht="15.95" customHeight="1" x14ac:dyDescent="0.25">
      <c r="B41" s="338" t="s">
        <v>445</v>
      </c>
      <c r="C41" s="338"/>
      <c r="D41" s="338"/>
    </row>
    <row r="42" spans="2:11" ht="20.100000000000001" customHeight="1" x14ac:dyDescent="0.25">
      <c r="B42" s="345" t="s">
        <v>435</v>
      </c>
      <c r="C42" s="346"/>
      <c r="D42" s="346"/>
      <c r="F42" s="349" t="s">
        <v>436</v>
      </c>
      <c r="G42" s="349"/>
      <c r="H42" s="349"/>
      <c r="I42" s="349"/>
      <c r="J42" s="349"/>
      <c r="K42" s="349"/>
    </row>
    <row r="43" spans="2:11" ht="20.100000000000001" customHeight="1" x14ac:dyDescent="0.25">
      <c r="B43" s="346"/>
      <c r="C43" s="346"/>
      <c r="D43" s="346"/>
      <c r="F43" s="350" t="str">
        <f>$H$12</f>
        <v>✕ נדרש תיקון</v>
      </c>
      <c r="G43" s="350"/>
      <c r="H43" s="350"/>
      <c r="I43" s="350"/>
      <c r="J43" s="350"/>
      <c r="K43" s="350"/>
    </row>
    <row r="44" spans="2:11" ht="15.95" customHeight="1" x14ac:dyDescent="0.25">
      <c r="B44" s="338" t="s">
        <v>445</v>
      </c>
      <c r="C44" s="338"/>
      <c r="D44" s="338"/>
    </row>
    <row r="45" spans="2:11" ht="20.100000000000001" customHeight="1" x14ac:dyDescent="0.25">
      <c r="B45" s="345" t="s">
        <v>437</v>
      </c>
      <c r="C45" s="346"/>
      <c r="D45" s="346"/>
      <c r="F45" s="349" t="s">
        <v>438</v>
      </c>
      <c r="G45" s="349"/>
      <c r="H45" s="349"/>
      <c r="I45" s="349"/>
      <c r="J45" s="349"/>
      <c r="K45" s="349"/>
    </row>
    <row r="46" spans="2:11" ht="20.100000000000001" customHeight="1" x14ac:dyDescent="0.25">
      <c r="B46" s="346"/>
      <c r="C46" s="346"/>
      <c r="D46" s="346"/>
      <c r="F46" s="350" t="str">
        <f>$I$12</f>
        <v>✓ עומד</v>
      </c>
      <c r="G46" s="350"/>
      <c r="H46" s="350"/>
      <c r="I46" s="350"/>
      <c r="J46" s="350"/>
      <c r="K46" s="350"/>
    </row>
    <row r="47" spans="2:11" ht="15.95" customHeight="1" x14ac:dyDescent="0.25">
      <c r="B47" s="338" t="s">
        <v>445</v>
      </c>
      <c r="C47" s="338"/>
      <c r="D47" s="338"/>
    </row>
    <row r="48" spans="2:11" ht="20.100000000000001" customHeight="1" x14ac:dyDescent="0.25">
      <c r="B48" s="345" t="s">
        <v>439</v>
      </c>
      <c r="C48" s="346"/>
      <c r="D48" s="346"/>
      <c r="F48" s="349" t="s">
        <v>440</v>
      </c>
      <c r="G48" s="349"/>
      <c r="H48" s="349"/>
      <c r="I48" s="349"/>
      <c r="J48" s="349"/>
      <c r="K48" s="349"/>
    </row>
    <row r="49" spans="2:11" ht="20.100000000000001" customHeight="1" x14ac:dyDescent="0.25">
      <c r="B49" s="346"/>
      <c r="C49" s="346"/>
      <c r="D49" s="346"/>
      <c r="F49" s="350" t="str">
        <f>$J$12</f>
        <v>• להשלמה</v>
      </c>
      <c r="G49" s="350"/>
      <c r="H49" s="350"/>
      <c r="I49" s="350"/>
      <c r="J49" s="350"/>
      <c r="K49" s="350"/>
    </row>
    <row r="50" spans="2:11" ht="15.95" customHeight="1" x14ac:dyDescent="0.25">
      <c r="B50" s="338" t="s">
        <v>445</v>
      </c>
      <c r="C50" s="338"/>
      <c r="D50" s="338"/>
    </row>
    <row r="51" spans="2:11" ht="20.100000000000001" customHeight="1" x14ac:dyDescent="0.25">
      <c r="B51" s="347" t="s">
        <v>441</v>
      </c>
      <c r="C51" s="348"/>
      <c r="D51" s="348"/>
      <c r="F51" s="349" t="s">
        <v>442</v>
      </c>
      <c r="G51" s="349"/>
      <c r="H51" s="349"/>
      <c r="I51" s="349"/>
      <c r="J51" s="349"/>
      <c r="K51" s="349"/>
    </row>
    <row r="52" spans="2:11" ht="20.100000000000001" customHeight="1" x14ac:dyDescent="0.25">
      <c r="B52" s="348"/>
      <c r="C52" s="348"/>
      <c r="D52" s="348"/>
      <c r="F52" s="350" t="str">
        <f>$K$12</f>
        <v>• טרם חושב</v>
      </c>
      <c r="G52" s="350"/>
      <c r="H52" s="350"/>
      <c r="I52" s="350"/>
      <c r="J52" s="350"/>
      <c r="K52" s="350"/>
    </row>
    <row r="53" spans="2:11" ht="15.95" customHeight="1" x14ac:dyDescent="0.25">
      <c r="B53" s="338" t="s">
        <v>445</v>
      </c>
      <c r="C53" s="338"/>
      <c r="D53" s="338"/>
    </row>
    <row r="54" spans="2:11" ht="20.100000000000001" customHeight="1" x14ac:dyDescent="0.25">
      <c r="B54" s="347" t="s">
        <v>443</v>
      </c>
      <c r="C54" s="348"/>
      <c r="D54" s="348"/>
      <c r="F54" s="349" t="s">
        <v>444</v>
      </c>
      <c r="G54" s="349"/>
      <c r="H54" s="349"/>
      <c r="I54" s="349"/>
      <c r="J54" s="349"/>
      <c r="K54" s="349"/>
    </row>
    <row r="55" spans="2:11" ht="20.100000000000001" customHeight="1" x14ac:dyDescent="0.25">
      <c r="B55" s="348"/>
      <c r="C55" s="348"/>
      <c r="D55" s="348"/>
    </row>
    <row r="56" spans="2:11" x14ac:dyDescent="0.25"/>
  </sheetData>
  <sheetProtection algorithmName="SHA-512" hashValue="7W6MTfvU2J4SgprXidX3UaM3XFg00dS6LI2Tj/GibdN5kHdQSNAUb+hfYORemu6J5/bGFMUj8V5a/7XxESZ60Q==" saltValue="EnkjlJY//D7y2sDqzk/PyQ==" spinCount="100000" sheet="1" objects="1" scenarios="1" formatCells="0" insertHyperlinks="0" selectLockedCells="1"/>
  <mergeCells count="57">
    <mergeCell ref="D17:F17"/>
    <mergeCell ref="D18:F18"/>
    <mergeCell ref="D19:F19"/>
    <mergeCell ref="D20:F20"/>
    <mergeCell ref="A13:F13"/>
    <mergeCell ref="A14:F14"/>
    <mergeCell ref="H14:I14"/>
    <mergeCell ref="J14:K14"/>
    <mergeCell ref="H15:I16"/>
    <mergeCell ref="J15:K16"/>
    <mergeCell ref="A5:K5"/>
    <mergeCell ref="A9:K9"/>
    <mergeCell ref="A10:F10"/>
    <mergeCell ref="A11:F11"/>
    <mergeCell ref="A12:F12"/>
    <mergeCell ref="D21:F21"/>
    <mergeCell ref="D22:F22"/>
    <mergeCell ref="D23:F23"/>
    <mergeCell ref="D24:F24"/>
    <mergeCell ref="D25:F25"/>
    <mergeCell ref="D26:F26"/>
    <mergeCell ref="D27:F27"/>
    <mergeCell ref="B30:K30"/>
    <mergeCell ref="B32:D33"/>
    <mergeCell ref="F32:K32"/>
    <mergeCell ref="F35:K35"/>
    <mergeCell ref="F36:K36"/>
    <mergeCell ref="B42:D43"/>
    <mergeCell ref="F42:K42"/>
    <mergeCell ref="F43:K43"/>
    <mergeCell ref="F37:H37"/>
    <mergeCell ref="F38:H38"/>
    <mergeCell ref="F39:H39"/>
    <mergeCell ref="F40:H40"/>
    <mergeCell ref="J37:K40"/>
    <mergeCell ref="F45:K45"/>
    <mergeCell ref="F46:K46"/>
    <mergeCell ref="B48:D49"/>
    <mergeCell ref="F48:K48"/>
    <mergeCell ref="F49:K49"/>
    <mergeCell ref="B51:D52"/>
    <mergeCell ref="F51:K51"/>
    <mergeCell ref="F52:K52"/>
    <mergeCell ref="B54:D55"/>
    <mergeCell ref="F54:K54"/>
    <mergeCell ref="B53:D53"/>
    <mergeCell ref="B34:D34"/>
    <mergeCell ref="B41:D41"/>
    <mergeCell ref="B44:D44"/>
    <mergeCell ref="B47:D47"/>
    <mergeCell ref="B50:D50"/>
    <mergeCell ref="B37:D37"/>
    <mergeCell ref="B38:D38"/>
    <mergeCell ref="B39:D39"/>
    <mergeCell ref="B40:D40"/>
    <mergeCell ref="B45:D46"/>
    <mergeCell ref="B35:D36"/>
  </mergeCells>
  <conditionalFormatting sqref="F15:G16">
    <cfRule type="dataBar" priority="7">
      <dataBar>
        <cfvo type="min"/>
        <cfvo type="max"/>
        <color rgb="FF4BACC6"/>
      </dataBar>
      <extLst>
        <ext xmlns:x14="http://schemas.microsoft.com/office/spreadsheetml/2009/9/main" uri="{B025F937-C7B1-47D3-B67F-A62EFF666E3E}">
          <x14:id>{8589B521-1826-4C39-AFC3-D54183FA47E5}</x14:id>
        </ext>
      </extLst>
    </cfRule>
    <cfRule type="dataBar" priority="8">
      <dataBar>
        <cfvo type="min"/>
        <cfvo type="max"/>
        <color rgb="FF4BACC6"/>
      </dataBar>
      <extLst>
        <ext xmlns:x14="http://schemas.microsoft.com/office/spreadsheetml/2009/9/main" uri="{B025F937-C7B1-47D3-B67F-A62EFF666E3E}">
          <x14:id>{279CCE43-6F36-4A6D-A073-B0B2F371FD6E}</x14:id>
        </ext>
      </extLst>
    </cfRule>
  </conditionalFormatting>
  <conditionalFormatting sqref="F12:K12">
    <cfRule type="expression" dxfId="34" priority="2">
      <formula>F12="✓ הושלם"</formula>
    </cfRule>
    <cfRule type="expression" dxfId="33" priority="3">
      <formula>F12="✓ עבר"</formula>
    </cfRule>
    <cfRule type="expression" dxfId="32" priority="4">
      <formula>F12="✓ עומד"</formula>
    </cfRule>
    <cfRule type="expression" dxfId="31" priority="5">
      <formula>F12="✓ חושב"</formula>
    </cfRule>
    <cfRule type="expression" dxfId="30" priority="6">
      <formula>LEFT(F12,1)="✕"</formula>
    </cfRule>
  </conditionalFormatting>
  <hyperlinks>
    <hyperlink ref="B32" location="'1. מדריך והנחיות'!A1" display="שלב 1  ·  מדריך והנחיות" xr:uid="{00000000-0004-0000-0000-000000000000}"/>
    <hyperlink ref="B35" location="'2.1 פרטי בקשה'!A1" display="שלב 2  ·  הזנת נתונים (2.1–2.8)" xr:uid="{00000000-0004-0000-0000-000001000000}"/>
    <hyperlink ref="B42" location="'3. תנאי סף'!A1" display="שלב 3  ·  בדיקת תנאי סף" xr:uid="{00000000-0004-0000-0000-000002000000}"/>
    <hyperlink ref="B45" location="'4. אופק שרידות'!A1" display="שלב 4  ·  חישוב אופק שרידות" xr:uid="{00000000-0004-0000-0000-000003000000}"/>
    <hyperlink ref="B48" location="'5. קצב הוצאות צפוי'!A1" display="שלב 5  ·  קצב הוצאות חודשי צפוי" xr:uid="{00000000-0004-0000-0000-000004000000}"/>
    <hyperlink ref="B51" location="'6.1 חישוב מענק'!A1" display="שלב 6.1  ·  חישוב מענק הרשות" xr:uid="{00000000-0004-0000-0000-000005000000}"/>
    <hyperlink ref="B54" location="'6.2 הצהרה'!A1" display="שלב 6.2  ·  הצהרה וחתימה" xr:uid="{00000000-0004-0000-0000-000006000000}"/>
    <hyperlink ref="B37" location="'2.1 פרטי בקשה'!A1" display="2.1 פרטי בקשה" xr:uid="{00000000-0004-0000-0000-000007000000}"/>
    <hyperlink ref="F37" location="'2.2 מבנה החזקות'!A1" display="2.2 מבנה החזקות" xr:uid="{00000000-0004-0000-0000-000008000000}"/>
    <hyperlink ref="B38" location="'2.3 מצב כספי'!A1" display="2.3 מצב כספי" xr:uid="{00000000-0004-0000-0000-000009000000}"/>
    <hyperlink ref="F38" location="'2.4 הכנסות והוצאות'!A1" display="2.4 הכנסות והוצאות" xr:uid="{00000000-0004-0000-0000-00000A000000}"/>
    <hyperlink ref="B39" location="'2.5 עלויות מו״פ שהוונו'!A1" display="2.5 עלויות מו״פ שהוונו" xr:uid="{00000000-0004-0000-0000-00000B000000}"/>
    <hyperlink ref="F39" location="'2.6 מו״פ וישראל'!A1" display="2.6 מו״פ וישראל" xr:uid="{00000000-0004-0000-0000-00000C000000}"/>
    <hyperlink ref="B40" location="'2.7 משקיעים'!A1" display="2.7 משקיעים" xr:uid="{00000000-0004-0000-0000-00000D000000}"/>
    <hyperlink ref="F40" location="'2.8 נתונים מאוחדים'!A1" display="2.8 נתונים מאוחדים" xr:uid="{00000000-0004-0000-0000-00000E000000}"/>
  </hyperlinks>
  <pageMargins left="0.7" right="0.7" top="0.75" bottom="0.75" header="0.511811023622047" footer="0.511811023622047"/>
  <pageSetup paperSize="9" orientation="portrait" horizontalDpi="300" verticalDpi="300"/>
  <drawing r:id="rId1"/>
  <extLst>
    <ext xmlns:x14="http://schemas.microsoft.com/office/spreadsheetml/2009/9/main" uri="{78C0D931-6437-407d-A8EE-F0AAD7539E65}">
      <x14:conditionalFormattings>
        <x14:conditionalFormatting xmlns:xm="http://schemas.microsoft.com/office/excel/2006/main">
          <x14:cfRule type="dataBar" id="{8589B521-1826-4C39-AFC3-D54183FA47E5}">
            <x14:dataBar axisPosition="none">
              <x14:cfvo type="min"/>
              <x14:cfvo type="max"/>
              <x14:negativeFillColor rgb="FF4BACC6"/>
            </x14:dataBar>
          </x14:cfRule>
          <x14:cfRule type="dataBar" id="{279CCE43-6F36-4A6D-A073-B0B2F371FD6E}">
            <x14:dataBar axisPosition="none">
              <x14:cfvo type="min"/>
              <x14:cfvo type="max"/>
              <x14:negativeFillColor rgb="FF4BACC6"/>
            </x14:dataBar>
          </x14:cfRule>
          <xm:sqref>F15:G16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M80"/>
  <sheetViews>
    <sheetView showGridLines="0" rightToLeft="1" zoomScaleNormal="100" workbookViewId="0">
      <selection activeCell="K1" sqref="K1"/>
    </sheetView>
  </sheetViews>
  <sheetFormatPr defaultColWidth="0" defaultRowHeight="15" zeroHeight="1" x14ac:dyDescent="0.25"/>
  <cols>
    <col min="1" max="1" width="3.5703125" style="42" customWidth="1"/>
    <col min="2" max="2" width="54.5703125" style="42" customWidth="1"/>
    <col min="3" max="4" width="27.28515625" style="42" customWidth="1"/>
    <col min="5" max="5" width="29" style="42" customWidth="1"/>
    <col min="6" max="6" width="12" style="42" hidden="1" customWidth="1"/>
    <col min="7" max="9" width="8.7109375" style="42" hidden="1" customWidth="1"/>
    <col min="10" max="10" width="1.7109375" style="42" customWidth="1"/>
    <col min="11" max="11" width="100.7109375" style="42" customWidth="1"/>
    <col min="12" max="12" width="1.7109375" style="42" customWidth="1"/>
    <col min="13" max="13" width="0" style="42" hidden="1" customWidth="1"/>
    <col min="14" max="16384" width="8.7109375" style="42" hidden="1"/>
  </cols>
  <sheetData>
    <row r="1" spans="2:11" ht="31.5" customHeight="1" x14ac:dyDescent="0.25">
      <c r="B1" s="451" t="s">
        <v>478</v>
      </c>
      <c r="C1" s="389"/>
      <c r="D1" s="389"/>
      <c r="E1" s="389"/>
      <c r="K1" s="327" t="s">
        <v>413</v>
      </c>
    </row>
    <row r="2" spans="2:11" ht="21" customHeight="1" x14ac:dyDescent="0.25">
      <c r="B2" s="452" t="s">
        <v>341</v>
      </c>
      <c r="C2" s="452"/>
      <c r="D2" s="452"/>
      <c r="E2" s="452"/>
      <c r="K2" s="335" t="s">
        <v>427</v>
      </c>
    </row>
    <row r="3" spans="2:11" ht="21.95" customHeight="1" x14ac:dyDescent="0.25">
      <c r="B3" s="459" t="s">
        <v>323</v>
      </c>
      <c r="C3" s="419"/>
      <c r="D3" s="459" t="s">
        <v>324</v>
      </c>
      <c r="E3" s="420"/>
      <c r="K3" s="329" t="s">
        <v>493</v>
      </c>
    </row>
    <row r="4" spans="2:11" ht="18" customHeight="1" x14ac:dyDescent="0.25">
      <c r="B4" s="460" t="s">
        <v>325</v>
      </c>
      <c r="C4" s="461"/>
      <c r="D4" s="460" t="s">
        <v>326</v>
      </c>
      <c r="E4" s="464"/>
    </row>
    <row r="5" spans="2:11" ht="18" customHeight="1" x14ac:dyDescent="0.25">
      <c r="B5" s="462"/>
      <c r="C5" s="463"/>
      <c r="D5" s="462"/>
      <c r="E5" s="465"/>
    </row>
    <row r="6" spans="2:11" ht="9.9499999999999993" customHeight="1" thickBot="1" x14ac:dyDescent="0.3"/>
    <row r="7" spans="2:11" ht="24" customHeight="1" thickBot="1" x14ac:dyDescent="0.3">
      <c r="B7" s="374" t="s">
        <v>327</v>
      </c>
      <c r="C7" s="374"/>
      <c r="D7" s="374"/>
      <c r="E7" s="453"/>
      <c r="K7" s="267" t="s">
        <v>498</v>
      </c>
    </row>
    <row r="8" spans="2:11" ht="21.95" customHeight="1" x14ac:dyDescent="0.25">
      <c r="B8" s="146" t="s">
        <v>140</v>
      </c>
      <c r="C8" s="147">
        <f>'2.8 נתונים מאוחדים'!J24</f>
        <v>0</v>
      </c>
      <c r="D8" s="43"/>
      <c r="E8" s="43"/>
    </row>
    <row r="9" spans="2:11" ht="24" customHeight="1" x14ac:dyDescent="0.25">
      <c r="B9" s="148" t="s">
        <v>328</v>
      </c>
      <c r="C9" s="148"/>
      <c r="D9" s="148"/>
      <c r="E9" s="149"/>
    </row>
    <row r="10" spans="2:11" ht="32.1" customHeight="1" x14ac:dyDescent="0.25">
      <c r="B10" s="301" t="s">
        <v>331</v>
      </c>
      <c r="C10" s="150"/>
      <c r="D10" s="150"/>
      <c r="E10" s="151"/>
    </row>
    <row r="11" spans="2:11" ht="26.1" customHeight="1" x14ac:dyDescent="0.25">
      <c r="B11" s="152" t="s">
        <v>141</v>
      </c>
      <c r="C11" s="152" t="s">
        <v>34</v>
      </c>
      <c r="D11" s="152" t="s">
        <v>142</v>
      </c>
      <c r="E11" s="152" t="s">
        <v>143</v>
      </c>
    </row>
    <row r="12" spans="2:11" ht="21.95" customHeight="1" x14ac:dyDescent="0.25">
      <c r="B12" s="65"/>
      <c r="C12" s="253"/>
      <c r="D12" s="121"/>
      <c r="E12" s="121"/>
      <c r="K12" s="258"/>
    </row>
    <row r="13" spans="2:11" ht="21.95" customHeight="1" x14ac:dyDescent="0.25">
      <c r="B13" s="65"/>
      <c r="C13" s="253"/>
      <c r="D13" s="121"/>
      <c r="E13" s="121"/>
      <c r="K13" s="258"/>
    </row>
    <row r="14" spans="2:11" ht="21.95" customHeight="1" x14ac:dyDescent="0.25">
      <c r="B14" s="65"/>
      <c r="C14" s="253"/>
      <c r="D14" s="121"/>
      <c r="E14" s="121"/>
      <c r="K14" s="258"/>
    </row>
    <row r="15" spans="2:11" ht="21.95" customHeight="1" x14ac:dyDescent="0.25">
      <c r="B15" s="65"/>
      <c r="C15" s="253"/>
      <c r="D15" s="121"/>
      <c r="E15" s="121"/>
      <c r="K15" s="258"/>
    </row>
    <row r="16" spans="2:11" ht="21.95" customHeight="1" x14ac:dyDescent="0.25">
      <c r="B16" s="65"/>
      <c r="C16" s="253"/>
      <c r="D16" s="121"/>
      <c r="E16" s="121"/>
      <c r="K16" s="258"/>
    </row>
    <row r="17" spans="2:11" ht="21.95" customHeight="1" x14ac:dyDescent="0.25">
      <c r="B17" s="65"/>
      <c r="C17" s="253"/>
      <c r="D17" s="121"/>
      <c r="E17" s="121"/>
      <c r="K17" s="258"/>
    </row>
    <row r="18" spans="2:11" ht="21.95" customHeight="1" x14ac:dyDescent="0.25">
      <c r="B18" s="65"/>
      <c r="C18" s="253"/>
      <c r="D18" s="121"/>
      <c r="E18" s="121"/>
      <c r="K18" s="258"/>
    </row>
    <row r="19" spans="2:11" ht="21.95" customHeight="1" x14ac:dyDescent="0.25">
      <c r="B19" s="65"/>
      <c r="C19" s="253"/>
      <c r="D19" s="121"/>
      <c r="E19" s="121"/>
      <c r="K19" s="258"/>
    </row>
    <row r="20" spans="2:11" s="231" customFormat="1" ht="21.95" customHeight="1" x14ac:dyDescent="0.25">
      <c r="B20" s="65"/>
      <c r="C20" s="253"/>
      <c r="D20" s="121"/>
      <c r="E20" s="121"/>
      <c r="K20" s="258"/>
    </row>
    <row r="21" spans="2:11" s="231" customFormat="1" ht="21.95" customHeight="1" x14ac:dyDescent="0.25">
      <c r="B21" s="65"/>
      <c r="C21" s="253"/>
      <c r="D21" s="121"/>
      <c r="E21" s="121"/>
      <c r="K21" s="258"/>
    </row>
    <row r="22" spans="2:11" s="231" customFormat="1" ht="21.95" customHeight="1" x14ac:dyDescent="0.25">
      <c r="B22" s="65"/>
      <c r="C22" s="253"/>
      <c r="D22" s="121"/>
      <c r="E22" s="121"/>
      <c r="K22" s="258"/>
    </row>
    <row r="23" spans="2:11" s="231" customFormat="1" ht="21.95" customHeight="1" x14ac:dyDescent="0.25">
      <c r="B23" s="171"/>
      <c r="C23" s="254"/>
      <c r="D23" s="121"/>
      <c r="E23" s="121"/>
      <c r="K23" s="258"/>
    </row>
    <row r="24" spans="2:11" ht="21.95" customHeight="1" x14ac:dyDescent="0.25">
      <c r="B24" s="146" t="s">
        <v>144</v>
      </c>
      <c r="C24" s="257">
        <f>N(C8)+SUMIF(D12:D23, "תוספת", C12:C23) - SUMIF(D12:D23, "הפחתה", C12:C23)</f>
        <v>0</v>
      </c>
      <c r="D24" s="43"/>
      <c r="E24" s="43"/>
    </row>
    <row r="25" spans="2:11" ht="21.95" customHeight="1" x14ac:dyDescent="0.25">
      <c r="B25" s="146" t="s">
        <v>145</v>
      </c>
      <c r="C25" s="257">
        <f>IFERROR(N(C24)/3,0)</f>
        <v>0</v>
      </c>
      <c r="D25" s="43"/>
      <c r="E25" s="43"/>
    </row>
    <row r="26" spans="2:11" ht="14.25" customHeight="1" x14ac:dyDescent="0.25">
      <c r="B26" s="43"/>
      <c r="C26" s="43"/>
      <c r="D26" s="43"/>
      <c r="E26" s="43"/>
    </row>
    <row r="27" spans="2:11" ht="24" customHeight="1" x14ac:dyDescent="0.25">
      <c r="B27" s="454" t="s">
        <v>329</v>
      </c>
      <c r="C27" s="454"/>
      <c r="D27" s="454"/>
      <c r="E27" s="455"/>
    </row>
    <row r="28" spans="2:11" ht="26.1" customHeight="1" x14ac:dyDescent="0.25">
      <c r="B28" s="466" t="s">
        <v>332</v>
      </c>
      <c r="C28" s="467"/>
      <c r="D28" s="467"/>
      <c r="E28" s="468"/>
    </row>
    <row r="29" spans="2:11" ht="21.95" customHeight="1" x14ac:dyDescent="0.25">
      <c r="B29" s="466" t="s">
        <v>333</v>
      </c>
      <c r="C29" s="467"/>
      <c r="D29" s="467"/>
      <c r="E29" s="468"/>
    </row>
    <row r="30" spans="2:11" ht="26.1" customHeight="1" x14ac:dyDescent="0.25">
      <c r="B30" s="152" t="s">
        <v>146</v>
      </c>
      <c r="C30" s="152" t="s">
        <v>147</v>
      </c>
      <c r="D30" s="152" t="s">
        <v>148</v>
      </c>
      <c r="E30" s="152" t="s">
        <v>149</v>
      </c>
    </row>
    <row r="31" spans="2:11" ht="21.95" customHeight="1" x14ac:dyDescent="0.25">
      <c r="B31" s="65"/>
      <c r="C31" s="253"/>
      <c r="D31" s="172"/>
      <c r="E31" s="121"/>
      <c r="K31" s="258"/>
    </row>
    <row r="32" spans="2:11" ht="21.95" customHeight="1" x14ac:dyDescent="0.25">
      <c r="B32" s="65"/>
      <c r="C32" s="253"/>
      <c r="D32" s="172"/>
      <c r="E32" s="121"/>
      <c r="K32" s="258"/>
    </row>
    <row r="33" spans="2:11" ht="21.95" customHeight="1" x14ac:dyDescent="0.25">
      <c r="B33" s="65"/>
      <c r="C33" s="253"/>
      <c r="D33" s="172"/>
      <c r="E33" s="121"/>
      <c r="K33" s="258"/>
    </row>
    <row r="34" spans="2:11" ht="21.95" customHeight="1" x14ac:dyDescent="0.25">
      <c r="B34" s="65"/>
      <c r="C34" s="253"/>
      <c r="D34" s="172"/>
      <c r="E34" s="121"/>
      <c r="K34" s="258"/>
    </row>
    <row r="35" spans="2:11" ht="21.95" customHeight="1" x14ac:dyDescent="0.25">
      <c r="B35" s="65"/>
      <c r="C35" s="253"/>
      <c r="D35" s="172"/>
      <c r="E35" s="121"/>
      <c r="K35" s="258"/>
    </row>
    <row r="36" spans="2:11" ht="21.95" customHeight="1" x14ac:dyDescent="0.25">
      <c r="B36" s="65"/>
      <c r="C36" s="253"/>
      <c r="D36" s="172"/>
      <c r="E36" s="121"/>
      <c r="K36" s="258"/>
    </row>
    <row r="37" spans="2:11" ht="21.95" customHeight="1" x14ac:dyDescent="0.25">
      <c r="B37" s="65"/>
      <c r="C37" s="253"/>
      <c r="D37" s="172"/>
      <c r="E37" s="121"/>
      <c r="K37" s="258"/>
    </row>
    <row r="38" spans="2:11" s="231" customFormat="1" ht="21.95" customHeight="1" x14ac:dyDescent="0.25">
      <c r="B38" s="65"/>
      <c r="C38" s="253"/>
      <c r="D38" s="172"/>
      <c r="E38" s="121"/>
      <c r="F38" s="231" t="str">
        <f>IF(NOT(AND(N(C38)&gt;0,E38="כן",D38&lt;&gt;"")),"",SUMPRODUCT((N($C$31:$C$42)&gt;0)*($E$31:$E$42="כן")*($D$31:$D$42&lt;&gt;"")*($D$31:$D$42&lt;D38))+SUMPRODUCT((N($C$31:$C$42)&gt;0)*($E$31:$E$42="כן")*($D$31:$D$42&lt;&gt;"")*($D$31:$D$42=D38)*(ROW($D$31:$D$42)&lt;=ROW(D38))))</f>
        <v/>
      </c>
      <c r="G38" s="231" t="str">
        <f>IF(D38="","",MAX(0,(D38-'2.1 פרטי בקשה'!$C$9)/30.4375))</f>
        <v/>
      </c>
      <c r="K38" s="258"/>
    </row>
    <row r="39" spans="2:11" s="231" customFormat="1" ht="21.95" customHeight="1" x14ac:dyDescent="0.25">
      <c r="B39" s="65"/>
      <c r="C39" s="253"/>
      <c r="D39" s="172"/>
      <c r="E39" s="121"/>
      <c r="K39" s="258"/>
    </row>
    <row r="40" spans="2:11" s="231" customFormat="1" ht="21.95" customHeight="1" x14ac:dyDescent="0.25">
      <c r="B40" s="65"/>
      <c r="C40" s="253"/>
      <c r="D40" s="172"/>
      <c r="E40" s="121"/>
      <c r="F40" s="231" t="str">
        <f>IF(NOT(AND(N(C40)&gt;0,E40="כן",D40&lt;&gt;"")),"",SUMPRODUCT((N($C$31:$C$42)&gt;0)*($E$31:$E$42="כן")*($D$31:$D$42&lt;&gt;"")*($D$31:$D$42&lt;D40))+SUMPRODUCT((N($C$31:$C$42)&gt;0)*($E$31:$E$42="כן")*($D$31:$D$42&lt;&gt;"")*($D$31:$D$42=D40)*(ROW($D$31:$D$42)&lt;=ROW(D40))))</f>
        <v/>
      </c>
      <c r="G40" s="231" t="str">
        <f>IF(D40="","",MAX(0,(D40-'2.1 פרטי בקשה'!$C$9)/30.4375))</f>
        <v/>
      </c>
      <c r="K40" s="258"/>
    </row>
    <row r="41" spans="2:11" s="231" customFormat="1" ht="21.95" customHeight="1" x14ac:dyDescent="0.25">
      <c r="B41" s="65"/>
      <c r="C41" s="253"/>
      <c r="D41" s="172"/>
      <c r="E41" s="121"/>
      <c r="F41" s="231" t="str">
        <f>IF(NOT(AND(N(C41)&gt;0,E41="כן",D41&lt;&gt;"")),"",SUMPRODUCT((N($C$31:$C$42)&gt;0)*($E$31:$E$42="כן")*($D$31:$D$42&lt;&gt;"")*($D$31:$D$42&lt;D41))+SUMPRODUCT((N($C$31:$C$42)&gt;0)*($E$31:$E$42="כן")*($D$31:$D$42&lt;&gt;"")*($D$31:$D$42=D41)*(ROW($D$31:$D$42)&lt;=ROW(D41))))</f>
        <v/>
      </c>
      <c r="G41" s="231" t="str">
        <f>IF(D41="","",MAX(0,(D41-'2.1 פרטי בקשה'!$C$9)/30.4375))</f>
        <v/>
      </c>
      <c r="K41" s="258"/>
    </row>
    <row r="42" spans="2:11" s="231" customFormat="1" ht="21.95" customHeight="1" x14ac:dyDescent="0.25">
      <c r="B42" s="171"/>
      <c r="C42" s="254"/>
      <c r="D42" s="172"/>
      <c r="E42" s="121"/>
      <c r="F42" s="231" t="str">
        <f>IF(NOT(AND(N(C42)&gt;0,E42="כן",D42&lt;&gt;"")),"",SUMPRODUCT((N($C$31:$C$42)&gt;0)*($E$31:$E$42="כן")*($D$31:$D$42&lt;&gt;"")*($D$31:$D$42&lt;D42))+SUMPRODUCT((N($C$31:$C$42)&gt;0)*($E$31:$E$42="כן")*($D$31:$D$42&lt;&gt;"")*($D$31:$D$42=D42)*(ROW($D$31:$D$42)&lt;=ROW(D42))))</f>
        <v/>
      </c>
      <c r="G42" s="231" t="str">
        <f>IF(D42="","",MAX(0,(D42-'2.1 פרטי בקשה'!$C$9)/30.4375))</f>
        <v/>
      </c>
      <c r="K42" s="258"/>
    </row>
    <row r="43" spans="2:11" ht="21.95" customHeight="1" x14ac:dyDescent="0.25">
      <c r="B43" s="146" t="s">
        <v>150</v>
      </c>
      <c r="C43" s="252">
        <f>SUMIF(E31:E42, "כן",C31:C42)</f>
        <v>0</v>
      </c>
      <c r="D43" s="43"/>
      <c r="E43" s="43"/>
    </row>
    <row r="44" spans="2:11" ht="21.95" customHeight="1" x14ac:dyDescent="0.25">
      <c r="B44" s="146" t="s">
        <v>151</v>
      </c>
      <c r="C44" s="173"/>
      <c r="D44" s="43"/>
      <c r="E44" s="43"/>
      <c r="K44" s="258"/>
    </row>
    <row r="45" spans="2:11" ht="14.25" customHeight="1" x14ac:dyDescent="0.25">
      <c r="B45" s="43"/>
      <c r="C45" s="43"/>
      <c r="D45" s="43"/>
      <c r="E45" s="43"/>
    </row>
    <row r="46" spans="2:11" ht="24" customHeight="1" x14ac:dyDescent="0.25">
      <c r="B46" s="374" t="s">
        <v>330</v>
      </c>
      <c r="C46" s="374"/>
      <c r="D46" s="374"/>
      <c r="E46" s="453"/>
    </row>
    <row r="47" spans="2:11" ht="21.95" customHeight="1" x14ac:dyDescent="0.25">
      <c r="B47" s="146" t="s">
        <v>153</v>
      </c>
      <c r="C47" s="252">
        <f>'2.8 נתונים מאוחדים'!K24-'2.8 נתונים מאוחדים'!M24</f>
        <v>0</v>
      </c>
      <c r="D47" s="43"/>
      <c r="E47" s="43"/>
    </row>
    <row r="48" spans="2:11" ht="21.95" customHeight="1" x14ac:dyDescent="0.25">
      <c r="B48" s="146" t="s">
        <v>154</v>
      </c>
      <c r="C48" s="252">
        <f>N(C47)+N(C43)-N(C44)</f>
        <v>0</v>
      </c>
      <c r="D48" s="43"/>
      <c r="E48" s="43"/>
    </row>
    <row r="49" spans="2:5" ht="21.95" customHeight="1" x14ac:dyDescent="0.25">
      <c r="B49" s="146" t="s">
        <v>155</v>
      </c>
      <c r="C49" s="255">
        <f>IF(N(C25)=0,0,N(C48)/N(C25))</f>
        <v>0</v>
      </c>
      <c r="D49" s="43"/>
      <c r="E49" s="43"/>
    </row>
    <row r="50" spans="2:5" ht="21.95" customHeight="1" x14ac:dyDescent="0.25">
      <c r="B50" s="146" t="s">
        <v>156</v>
      </c>
      <c r="C50" s="256" t="str">
        <f>IF(AND(N(C49)&gt;=0,N(C49)&lt;='1. מדריך והנחיות'!$D$17),"מתקיים","לא מתקיים")</f>
        <v>מתקיים</v>
      </c>
      <c r="D50" s="43"/>
      <c r="E50" s="43"/>
    </row>
    <row r="51" spans="2:5" ht="21.95" customHeight="1" x14ac:dyDescent="0.25"/>
    <row r="52" spans="2:5" ht="24" customHeight="1" x14ac:dyDescent="0.25">
      <c r="B52" s="469" t="s">
        <v>334</v>
      </c>
      <c r="C52" s="469"/>
      <c r="D52" s="469"/>
      <c r="E52" s="469"/>
    </row>
    <row r="53" spans="2:5" ht="30" customHeight="1" x14ac:dyDescent="0.25">
      <c r="B53" s="470" t="str">
        <f>"( "&amp;TEXT($C$47,"#,##0")&amp;" ₪  +  "&amp;TEXT($C$43,"#,##0")&amp;" ₪  −  "&amp;TEXT($C$44,"#,##0")&amp;" ₪ )  ÷  "&amp;TEXT($C$25,"#,##0")&amp;" ₪  =  "&amp;TEXT($C$49,"0.0")&amp;" חודשים"</f>
        <v>( 0 ₪  +  0 ₪  −  0 ₪ )  ÷  0 ₪  =  0.0 חודשים</v>
      </c>
      <c r="C53" s="471"/>
      <c r="D53" s="471"/>
      <c r="E53" s="472"/>
    </row>
    <row r="54" spans="2:5" ht="18" customHeight="1" x14ac:dyDescent="0.25">
      <c r="B54" s="473" t="s">
        <v>335</v>
      </c>
      <c r="C54" s="473"/>
      <c r="D54" s="473"/>
      <c r="E54" s="473"/>
    </row>
    <row r="55" spans="2:5" ht="8.1" customHeight="1" x14ac:dyDescent="0.25"/>
    <row r="56" spans="2:5" ht="26.1" customHeight="1" x14ac:dyDescent="0.25">
      <c r="B56" s="153" t="s">
        <v>319</v>
      </c>
      <c r="C56" s="154" t="s">
        <v>336</v>
      </c>
      <c r="D56" s="154" t="s">
        <v>152</v>
      </c>
      <c r="E56" s="154" t="s">
        <v>337</v>
      </c>
    </row>
    <row r="57" spans="2:5" ht="30" customHeight="1" x14ac:dyDescent="0.25">
      <c r="B57" s="287" t="str">
        <f>"1. הוצאות תקופת הבסיס (3 חודשים)"</f>
        <v>1. הוצאות תקופת הבסיס (3 חודשים)</v>
      </c>
      <c r="C57" s="156" t="str">
        <f>TEXT($C$8,"#,##0")&amp;" ₪"</f>
        <v>0 ₪</v>
      </c>
      <c r="D57" s="157">
        <f>$C$8</f>
        <v>0</v>
      </c>
      <c r="E57" s="158" t="str">
        <f>"נמשך מקובץ ההרכבה — מבקש + ישויות שנכללו − ביטולים"</f>
        <v>נמשך מקובץ ההרכבה — מבקש + ישויות שנכללו − ביטולים</v>
      </c>
    </row>
    <row r="58" spans="2:5" ht="30" customHeight="1" x14ac:dyDescent="0.25">
      <c r="B58" s="287" t="str">
        <f>"2. הוצאות מזומן מותאמות"</f>
        <v>2. הוצאות מזומן מותאמות</v>
      </c>
      <c r="C58" s="156" t="str">
        <f>TEXT($C$8,"#,##0")&amp;" ₪  ±  התאמות  =  "&amp;TEXT($C$24,"#,##0")&amp;" ₪"</f>
        <v>0 ₪  ±  התאמות  =  0 ₪</v>
      </c>
      <c r="D58" s="157">
        <f>$C$24</f>
        <v>0</v>
      </c>
      <c r="E58" s="158" t="str">
        <f>"הסרת רכיבים שאינם כרוכים במזומן והוספת תשלומי מזומן שלא נרשמו"</f>
        <v>הסרת רכיבים שאינם כרוכים במזומן והוספת תשלומי מזומן שלא נרשמו</v>
      </c>
    </row>
    <row r="59" spans="2:5" ht="30" customHeight="1" x14ac:dyDescent="0.25">
      <c r="B59" s="287" t="str">
        <f>"3. קצב הוצאות חודשי"</f>
        <v>3. קצב הוצאות חודשי</v>
      </c>
      <c r="C59" s="156" t="str">
        <f>TEXT($C$24,"#,##0")&amp;" ₪  ÷  3"</f>
        <v>0 ₪  ÷  3</v>
      </c>
      <c r="D59" s="157">
        <f>$C$25</f>
        <v>0</v>
      </c>
      <c r="E59" s="158" t="str">
        <f>"חלוקת ההוצאות המותאמות לשלושה חודשים"</f>
        <v>חלוקת ההוצאות המותאמות לשלושה חודשים</v>
      </c>
    </row>
    <row r="60" spans="2:5" ht="30" customHeight="1" x14ac:dyDescent="0.25">
      <c r="B60" s="287" t="str">
        <f>"4. משאבים זמינים"</f>
        <v>4. משאבים זמינים</v>
      </c>
      <c r="C60" s="156" t="str">
        <f>TEXT($C$47,"#,##0")&amp;" ₪  +  "&amp;TEXT($C$43,"#,##0")&amp;" ₪  −  "&amp;TEXT($C$44,"#,##0")&amp;" ₪"</f>
        <v>0 ₪  +  0 ₪  −  0 ₪</v>
      </c>
      <c r="D60" s="157">
        <f>$C$48</f>
        <v>0</v>
      </c>
      <c r="E60" s="158" t="str">
        <f>"הון חוזר נטו + מקורות צפויים שנכללו − ניכוי רכיבים שאינם זמינים"</f>
        <v>הון חוזר נטו + מקורות צפויים שנכללו − ניכוי רכיבים שאינם זמינים</v>
      </c>
    </row>
    <row r="61" spans="2:5" ht="30" customHeight="1" x14ac:dyDescent="0.25">
      <c r="B61" s="286" t="str">
        <f>"5. אופק שרידות"</f>
        <v>5. אופק שרידות</v>
      </c>
      <c r="C61" s="160" t="str">
        <f>TEXT($C$48,"#,##0")&amp;" ₪  ÷  "&amp;TEXT($C$25,"#,##0")&amp;" ₪"</f>
        <v>0 ₪  ÷  0 ₪</v>
      </c>
      <c r="D61" s="161">
        <f>$C$49</f>
        <v>0</v>
      </c>
      <c r="E61" s="162" t="str">
        <f>"מספר החודשים עד לניצול מלא של המשאבים הזמינים"</f>
        <v>מספר החודשים עד לניצול מלא של המשאבים הזמינים</v>
      </c>
    </row>
    <row r="62" spans="2:5" ht="8.1" customHeight="1" x14ac:dyDescent="0.25"/>
    <row r="63" spans="2:5" ht="26.1" customHeight="1" x14ac:dyDescent="0.25">
      <c r="B63" s="474" t="str">
        <f>"⚠️  מקורות שלא נכללו אוטומטית: "&amp;TEXT(MAX(0,SUM($C$31:$C$42)-$C$43),"#,##0")&amp;" ₪ — מקור שסומן ״לא״ או שמועד קבלתו מאוחר מדי ביחס לקצב ההוצאות אינו נכלל בתחשיב."</f>
        <v>⚠️  מקורות שלא נכללו אוטומטית: 0 ₪ — מקור שסומן ״לא״ או שמועד קבלתו מאוחר מדי ביחס לקצב ההוצאות אינו נכלל בתחשיב.</v>
      </c>
      <c r="C63" s="475"/>
      <c r="D63" s="475"/>
      <c r="E63" s="476"/>
    </row>
    <row r="64" spans="2:5" ht="8.1" customHeight="1" x14ac:dyDescent="0.25"/>
    <row r="65" spans="2:9" s="130" customFormat="1" ht="24" customHeight="1" x14ac:dyDescent="0.25">
      <c r="B65" s="281" t="s">
        <v>338</v>
      </c>
      <c r="C65" s="281" t="s">
        <v>339</v>
      </c>
      <c r="D65" s="302" t="s">
        <v>25</v>
      </c>
      <c r="E65" s="303" t="s">
        <v>340</v>
      </c>
    </row>
    <row r="66" spans="2:9" s="130" customFormat="1" ht="30" customHeight="1" x14ac:dyDescent="0.25">
      <c r="B66" s="304">
        <f>$C$25</f>
        <v>0</v>
      </c>
      <c r="C66" s="304">
        <f>$C$48</f>
        <v>0</v>
      </c>
      <c r="D66" s="305">
        <f>$C$49</f>
        <v>0</v>
      </c>
      <c r="E66" s="306" t="str">
        <f>$C$50</f>
        <v>מתקיים</v>
      </c>
    </row>
    <row r="67" spans="2:9" ht="8.1" customHeight="1" x14ac:dyDescent="0.25"/>
    <row r="68" spans="2:9" ht="27.95" customHeight="1" x14ac:dyDescent="0.25">
      <c r="B68" s="456" t="str">
        <f>IF($C$50="מתקיים","✓  תוצאה כוללת — החברה עומדת בתנאי אופק השרידות (עד 12 חודשים)","✗  תוצאה כוללת — החברה אינה עומדת בתנאי אופק השרידות")</f>
        <v>✓  תוצאה כוללת — החברה עומדת בתנאי אופק השרידות (עד 12 חודשים)</v>
      </c>
      <c r="C68" s="457"/>
      <c r="D68" s="457"/>
      <c r="E68" s="458"/>
    </row>
    <row r="71" spans="2:9" ht="14.25" hidden="1" customHeight="1" x14ac:dyDescent="0.25">
      <c r="B71" s="165" t="s">
        <v>157</v>
      </c>
    </row>
    <row r="72" spans="2:9" ht="14.25" hidden="1" customHeight="1" x14ac:dyDescent="0.25">
      <c r="B72" s="166" t="s">
        <v>158</v>
      </c>
      <c r="C72" s="166" t="s">
        <v>159</v>
      </c>
      <c r="D72" s="166" t="s">
        <v>160</v>
      </c>
      <c r="E72" s="166" t="s">
        <v>161</v>
      </c>
      <c r="F72" s="166" t="s">
        <v>162</v>
      </c>
      <c r="G72" s="166" t="s">
        <v>163</v>
      </c>
      <c r="H72" s="166" t="s">
        <v>164</v>
      </c>
      <c r="I72" s="166" t="s">
        <v>165</v>
      </c>
    </row>
    <row r="73" spans="2:9" ht="14.25" hidden="1" customHeight="1" x14ac:dyDescent="0.25">
      <c r="B73" s="167">
        <v>1</v>
      </c>
      <c r="C73" s="168">
        <f>IFERROR(INDEX($C$31:$C$42,MATCH(1,$F$38:$F$42,0)),0)</f>
        <v>0</v>
      </c>
      <c r="D73" s="169" t="str">
        <f>IFERROR(INDEX($D$31:$D$42,MATCH(1,$F$38:$F$42,0)),"")</f>
        <v/>
      </c>
      <c r="E73" s="167" t="str">
        <f>IF(D73="","",MAX(0,(D73-'2.1 פרטי בקשה'!$C$9)/30.4375))</f>
        <v/>
      </c>
      <c r="F73" s="168">
        <f>$C$47</f>
        <v>0</v>
      </c>
      <c r="G73" s="167">
        <f>IF($C$25&gt;0,MAX(0,F73/$C$25),1000000)</f>
        <v>1000000</v>
      </c>
      <c r="H73" s="167" t="str">
        <f>IF(C73=0,"—",IF(E73&lt;=G73+1/30.4375,"כן","לא"))</f>
        <v>—</v>
      </c>
      <c r="I73" s="168">
        <f>IF(H73="כן",C73,0)</f>
        <v>0</v>
      </c>
    </row>
    <row r="74" spans="2:9" ht="14.25" hidden="1" customHeight="1" x14ac:dyDescent="0.25">
      <c r="B74" s="167">
        <v>2</v>
      </c>
      <c r="C74" s="167">
        <f>IFERROR(INDEX($C$31:$C$42,MATCH(2,$F$38:$F$42,0)),0)</f>
        <v>0</v>
      </c>
      <c r="D74" s="169" t="str">
        <f>IFERROR(INDEX($D$31:$D$42,MATCH(2,$F$38:$F$42,0)),"")</f>
        <v/>
      </c>
      <c r="E74" s="167" t="str">
        <f>IF(D74="","",MAX(0,(D74-'2.1 פרטי בקשה'!$C$9)/30.4375))</f>
        <v/>
      </c>
      <c r="F74" s="167">
        <f>F73+I73</f>
        <v>0</v>
      </c>
      <c r="G74" s="167">
        <f>IF($C$25&gt;0,MAX(0,F74/$C$25),1000000)</f>
        <v>1000000</v>
      </c>
      <c r="H74" s="167" t="str">
        <f>IF(C74=0,"—",IF(E74&lt;=G74+1/30.4375,"כן","לא"))</f>
        <v>—</v>
      </c>
      <c r="I74" s="167">
        <f>IF(H74="כן",C74,0)</f>
        <v>0</v>
      </c>
    </row>
    <row r="75" spans="2:9" ht="14.25" hidden="1" customHeight="1" x14ac:dyDescent="0.25">
      <c r="B75" s="167">
        <v>3</v>
      </c>
      <c r="C75" s="167">
        <f>IFERROR(INDEX($C$31:$C$42,MATCH(3,$F$38:$F$42,0)),0)</f>
        <v>0</v>
      </c>
      <c r="D75" s="169" t="str">
        <f>IFERROR(INDEX($D$31:$D$42,MATCH(3,$F$38:$F$42,0)),"")</f>
        <v/>
      </c>
      <c r="E75" s="167" t="str">
        <f>IF(D75="","",MAX(0,(D75-'2.1 פרטי בקשה'!$C$9)/30.4375))</f>
        <v/>
      </c>
      <c r="F75" s="167">
        <f>F74+I74</f>
        <v>0</v>
      </c>
      <c r="G75" s="167">
        <f>IF($C$25&gt;0,MAX(0,F75/$C$25),1000000)</f>
        <v>1000000</v>
      </c>
      <c r="H75" s="167" t="str">
        <f>IF(C75=0,"—",IF(E75&lt;=G75+1/30.4375,"כן","לא"))</f>
        <v>—</v>
      </c>
      <c r="I75" s="167">
        <f>IF(H75="כן",C75,0)</f>
        <v>0</v>
      </c>
    </row>
    <row r="76" spans="2:9" ht="14.25" hidden="1" customHeight="1" x14ac:dyDescent="0.25">
      <c r="B76" s="167">
        <v>4</v>
      </c>
      <c r="C76" s="167">
        <f>IFERROR(INDEX($C$31:$C$42,MATCH(4,$F$38:$F$42,0)),0)</f>
        <v>0</v>
      </c>
      <c r="D76" s="169" t="str">
        <f>IFERROR(INDEX($D$31:$D$42,MATCH(4,$F$38:$F$42,0)),"")</f>
        <v/>
      </c>
      <c r="E76" s="167" t="str">
        <f>IF(D76="","",MAX(0,(D76-'2.1 פרטי בקשה'!$C$9)/30.4375))</f>
        <v/>
      </c>
      <c r="F76" s="167">
        <f>F75+I75</f>
        <v>0</v>
      </c>
      <c r="G76" s="167">
        <f>IF($C$25&gt;0,MAX(0,F76/$C$25),1000000)</f>
        <v>1000000</v>
      </c>
      <c r="H76" s="167" t="str">
        <f>IF(C76=0,"—",IF(E76&lt;=G76+1/30.4375,"כן","לא"))</f>
        <v>—</v>
      </c>
      <c r="I76" s="167">
        <f>IF(H76="כן",C76,0)</f>
        <v>0</v>
      </c>
    </row>
    <row r="77" spans="2:9" ht="14.25" hidden="1" customHeight="1" x14ac:dyDescent="0.25">
      <c r="B77" s="167">
        <v>5</v>
      </c>
      <c r="C77" s="167">
        <f>IFERROR(INDEX($C$31:$C$42,MATCH(5,$F$38:$F$42,0)),0)</f>
        <v>0</v>
      </c>
      <c r="D77" s="169" t="str">
        <f>IFERROR(INDEX($D$31:$D$42,MATCH(5,$F$38:$F$42,0)),"")</f>
        <v/>
      </c>
      <c r="E77" s="167" t="str">
        <f>IF(D77="","",MAX(0,(D77-'2.1 פרטי בקשה'!$C$9)/30.4375))</f>
        <v/>
      </c>
      <c r="F77" s="167">
        <f>F76+I76</f>
        <v>0</v>
      </c>
      <c r="G77" s="167">
        <f>IF($C$25&gt;0,MAX(0,F77/$C$25),1000000)</f>
        <v>1000000</v>
      </c>
      <c r="H77" s="167" t="str">
        <f>IF(C77=0,"—",IF(E77&lt;=G77+1/30.4375,"כן","לא"))</f>
        <v>—</v>
      </c>
      <c r="I77" s="167">
        <f>IF(H77="כן",C77,0)</f>
        <v>0</v>
      </c>
    </row>
    <row r="79" spans="2:9" ht="14.25" hidden="1" customHeight="1" x14ac:dyDescent="0.25">
      <c r="B79" s="170" t="s">
        <v>166</v>
      </c>
    </row>
    <row r="80" spans="2:9" x14ac:dyDescent="0.25"/>
  </sheetData>
  <sheetProtection algorithmName="SHA-512" hashValue="1wswcDPo62OL8gSyFHmAEQ3DMe1XtblxDUXhoAuaJisYgkvtZCkuxq7zO1SLGbc8cY6ilVMSwEP9xfifthhjcQ==" saltValue="/oa48P2em1XgVMKYt1j8gQ==" spinCount="100000" sheet="1" objects="1" scenarios="1" formatCells="0" insertHyperlinks="0" selectLockedCells="1"/>
  <mergeCells count="16">
    <mergeCell ref="B1:E1"/>
    <mergeCell ref="B2:E2"/>
    <mergeCell ref="B7:E7"/>
    <mergeCell ref="B27:E27"/>
    <mergeCell ref="B68:E68"/>
    <mergeCell ref="B3:C3"/>
    <mergeCell ref="D3:E3"/>
    <mergeCell ref="B4:C5"/>
    <mergeCell ref="D4:E5"/>
    <mergeCell ref="B28:E28"/>
    <mergeCell ref="B29:E29"/>
    <mergeCell ref="B46:E46"/>
    <mergeCell ref="B52:E52"/>
    <mergeCell ref="B53:E53"/>
    <mergeCell ref="B54:E54"/>
    <mergeCell ref="B63:E63"/>
  </mergeCells>
  <conditionalFormatting sqref="B68">
    <cfRule type="containsText" dxfId="16" priority="4" operator="containsText" text="אינה עומדת">
      <formula>NOT(ISERROR(SEARCH("אינה עומדת",B68)))</formula>
    </cfRule>
  </conditionalFormatting>
  <conditionalFormatting sqref="C50">
    <cfRule type="expression" dxfId="15" priority="2">
      <formula>C50="מתקיים"</formula>
    </cfRule>
    <cfRule type="expression" dxfId="14" priority="3">
      <formula>C50="לא מתקיים"</formula>
    </cfRule>
  </conditionalFormatting>
  <dataValidations disablePrompts="1" count="4">
    <dataValidation type="list" sqref="D12:D23" xr:uid="{00000000-0002-0000-0900-000000000000}">
      <formula1>"הפחתה,תוספת"</formula1>
      <formula2>0</formula2>
    </dataValidation>
    <dataValidation type="list" sqref="E31:E42" xr:uid="{00000000-0002-0000-0900-000001000000}">
      <formula1>"כן,לא"</formula1>
      <formula2>0</formula2>
    </dataValidation>
    <dataValidation type="list" allowBlank="1" showInputMessage="1" showErrorMessage="1" errorTitle="ערך לא תקין" error="יש לבחור תיאור מתוך הרשימה בלבד." promptTitle="תיאור התאמה" prompt="בחרו את סוג ההתאמה מתוך הרשימה." sqref="B12:B23" xr:uid="{00000000-0002-0000-0900-000002000000}">
      <formula1>"הפחתת הוצאה שאינה תזרימית,הוספת תשלום מזומן שלא נרשם במלואו,ניטרול כפילויות,התאמה תזרימית אחרת — תוספת,התאמה תזרימית אחרת — הפחתה"</formula1>
    </dataValidation>
    <dataValidation type="list" allowBlank="1" showInputMessage="1" showErrorMessage="1" errorTitle="ערך לא תקין" error="יש לבחור מקור מתוך הרשימה בלבד." promptTitle="תיאור מקור" prompt="בחרו את סוג המקור מתוך הרשימה." sqref="B31:B42" xr:uid="{00000000-0002-0000-0900-000003000000}">
      <formula1>"הכנסה מכוח הסכם חתום — נטו מעלויות ישירות,השקעה / SAFE / CLA / מימון מתאגיד קשור — בהסכם חתום,קו אשראי מחייב לא מנוצל,מזומן בתאגיד קשור שלא נכלל בכרטיסיית הקבוצה,מקור אחר שהמסלול מתיר"</formula1>
    </dataValidation>
  </dataValidations>
  <hyperlinks>
    <hyperlink ref="K1" location="'1. מדריך והנחיות'!A1" display="⌂  שלב 1 — מדריך והנחיות" xr:uid="{00000000-0004-0000-0900-000000000000}"/>
    <hyperlink ref="K2" location="'2.8 נתונים מאוחדים'!A1" display="→  הקודם: 2.8 נתונים מאוחדים" xr:uid="{00000000-0004-0000-0900-000001000000}"/>
    <hyperlink ref="K3" location="'4. תנאי סף'!A1" display="הבא: 4. בדיקת תנאי סף" xr:uid="{00000000-0004-0000-0900-000002000000}"/>
  </hyperlinks>
  <pageMargins left="0.7" right="0.7" top="0.75" bottom="0.75" header="0.511811023622047" footer="0.511811023622047"/>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N36"/>
  <sheetViews>
    <sheetView showGridLines="0" rightToLeft="1" zoomScaleNormal="100" workbookViewId="0">
      <selection activeCell="K1" sqref="K1"/>
    </sheetView>
  </sheetViews>
  <sheetFormatPr defaultColWidth="0" defaultRowHeight="15" zeroHeight="1" x14ac:dyDescent="0.25"/>
  <cols>
    <col min="1" max="1" width="3.5703125" style="42" customWidth="1"/>
    <col min="2" max="2" width="10.85546875" style="42" customWidth="1"/>
    <col min="3" max="3" width="29.140625" style="42" customWidth="1"/>
    <col min="4" max="9" width="20" style="42" customWidth="1"/>
    <col min="10" max="10" width="1.7109375" style="42" customWidth="1"/>
    <col min="11" max="11" width="80.7109375" style="42" customWidth="1"/>
    <col min="12" max="12" width="1.7109375" style="42" customWidth="1"/>
    <col min="13" max="14" width="1.7109375" style="42" hidden="1" customWidth="1"/>
    <col min="15" max="16384" width="8.7109375" style="42" hidden="1"/>
  </cols>
  <sheetData>
    <row r="1" spans="1:11" ht="31.5" customHeight="1" x14ac:dyDescent="0.25">
      <c r="A1" s="451" t="s">
        <v>479</v>
      </c>
      <c r="B1" s="389"/>
      <c r="C1" s="389"/>
      <c r="D1" s="389"/>
      <c r="E1" s="389"/>
      <c r="F1" s="389"/>
      <c r="G1" s="389"/>
      <c r="H1" s="389"/>
      <c r="I1" s="389"/>
      <c r="K1" s="330" t="s">
        <v>413</v>
      </c>
    </row>
    <row r="2" spans="1:11" ht="21" customHeight="1" x14ac:dyDescent="0.25">
      <c r="A2" s="390" t="s">
        <v>311</v>
      </c>
      <c r="B2" s="390"/>
      <c r="C2" s="390"/>
      <c r="D2" s="390"/>
      <c r="E2" s="390"/>
      <c r="F2" s="390"/>
      <c r="G2" s="390"/>
      <c r="H2" s="390"/>
      <c r="I2" s="390"/>
      <c r="K2" s="328" t="s">
        <v>500</v>
      </c>
    </row>
    <row r="3" spans="1:11" ht="8.1" customHeight="1" x14ac:dyDescent="0.25">
      <c r="K3" s="502" t="s">
        <v>428</v>
      </c>
    </row>
    <row r="4" spans="1:11" ht="24" customHeight="1" x14ac:dyDescent="0.25">
      <c r="A4" s="374" t="s">
        <v>316</v>
      </c>
      <c r="B4" s="374"/>
      <c r="C4" s="374"/>
      <c r="D4" s="374"/>
      <c r="E4" s="374"/>
      <c r="F4" s="374"/>
      <c r="G4" s="504" t="str">
        <f>IF(COUNTIF($B$6:$F$12,"✗")&gt;0,"✗  נמצא תנאי שאינו מתקיים","✓  כל תנאי הסף מתקיימים")</f>
        <v>✗  נמצא תנאי שאינו מתקיים</v>
      </c>
      <c r="H4" s="504"/>
      <c r="I4" s="504"/>
      <c r="K4" s="503"/>
    </row>
    <row r="5" spans="1:11" ht="8.1" customHeight="1" x14ac:dyDescent="0.25"/>
    <row r="6" spans="1:11" ht="26.1" customHeight="1" x14ac:dyDescent="0.25">
      <c r="B6" s="495" t="str">
        <f>IF($D$26&gt;$D$25,"✓","✗")</f>
        <v>✗</v>
      </c>
      <c r="C6" s="497" t="str">
        <f>"הוצאות הקבוצה גבוהות מהכנסותיה"</f>
        <v>הוצאות הקבוצה גבוהות מהכנסותיה</v>
      </c>
      <c r="D6" s="497"/>
      <c r="E6" s="497"/>
      <c r="F6" s="174" t="str">
        <f>IF(AND($D$26&gt;'1. מדריך והנחיות'!$D$20,$D$26&lt;='1. מדריך והנחיות'!$D$21),"✓","✗")</f>
        <v>✗</v>
      </c>
      <c r="G6" s="497" t="str">
        <f>"הוצאות מעל 1.5 מיליון ₪ ועד 100 מיליון ₪"</f>
        <v>הוצאות מעל 1.5 מיליון ₪ ועד 100 מיליון ₪</v>
      </c>
      <c r="H6" s="497"/>
      <c r="I6" s="500"/>
    </row>
    <row r="7" spans="1:11" ht="21.95" customHeight="1" x14ac:dyDescent="0.25">
      <c r="B7" s="496"/>
      <c r="C7" s="498" t="str">
        <f>TEXT($D$26,"#,##0")&amp;" ₪ הוצאות מול "&amp;TEXT($D$25,"#,##0")&amp;" ₪ הכנסות"</f>
        <v>0 ₪ הוצאות מול 0 ₪ הכנסות</v>
      </c>
      <c r="D7" s="498"/>
      <c r="E7" s="498"/>
      <c r="F7" s="175"/>
      <c r="G7" s="498" t="str">
        <f>"סך הוצאות מאוחד "&amp;TEXT($D$26,"#,##0")&amp;" ₪"</f>
        <v>סך הוצאות מאוחד 0 ₪</v>
      </c>
      <c r="H7" s="499"/>
      <c r="I7" s="501"/>
    </row>
    <row r="8" spans="1:11" ht="8.1" customHeight="1" x14ac:dyDescent="0.25"/>
    <row r="9" spans="1:11" ht="26.1" customHeight="1" x14ac:dyDescent="0.25">
      <c r="B9" s="495" t="str">
        <f>IF($D$30&gt;='1. מדריך והנחיות'!$D$22,"✓","✗")</f>
        <v>✗</v>
      </c>
      <c r="C9" s="497" t="str">
        <f>"לפחות 40% מההוצאות הן הוצאות מו״פ"</f>
        <v>לפחות 40% מההוצאות הן הוצאות מו״פ</v>
      </c>
      <c r="D9" s="497"/>
      <c r="E9" s="497"/>
      <c r="F9" s="174" t="str">
        <f>IF($D$31&gt;='1. מדריך והנחיות'!$D$23,"✓","✗")</f>
        <v>✗</v>
      </c>
      <c r="G9" s="497" t="str">
        <f>"לפחות 50% מההוצאות הוצאו בישראל"</f>
        <v>לפחות 50% מההוצאות הוצאו בישראל</v>
      </c>
      <c r="H9" s="497"/>
      <c r="I9" s="500"/>
    </row>
    <row r="10" spans="1:11" ht="21.95" customHeight="1" x14ac:dyDescent="0.25">
      <c r="B10" s="496"/>
      <c r="C10" s="498" t="str">
        <f>TEXT($D$30,"0.0%")&amp;" — "&amp;TEXT($D$27,"#,##0")&amp;" ₪ מתוך "&amp;TEXT($D$26,"#,##0")&amp;" ₪"</f>
        <v>0.0% — 0 ₪ מתוך 0 ₪</v>
      </c>
      <c r="D10" s="499"/>
      <c r="E10" s="499"/>
      <c r="F10" s="175"/>
      <c r="G10" s="498" t="str">
        <f>TEXT($D$31,"0.0%")&amp;" — "&amp;TEXT($D$28,"#,##0")&amp;" ₪ מתוך "&amp;TEXT($D$26,"#,##0")&amp;" ₪"</f>
        <v>0.0% — 0 ₪ מתוך 0 ₪</v>
      </c>
      <c r="H10" s="499"/>
      <c r="I10" s="501"/>
    </row>
    <row r="11" spans="1:11" ht="8.1" customHeight="1" x14ac:dyDescent="0.25"/>
    <row r="12" spans="1:11" ht="26.1" customHeight="1" x14ac:dyDescent="0.25">
      <c r="B12" s="495" t="str">
        <f>IF('2.4 הכנסות והוצאות'!$C$30="כן","•",IF($D$32&gt;'1. מדריך והנחיות'!$D$24,"✓","✗"))</f>
        <v>✗</v>
      </c>
      <c r="C12" s="497" t="str">
        <f>"מעל 50% מהכנסות הקבוצה במטבע זר — בהיעדר השקעה ב-3 השנים האחרונות"</f>
        <v>מעל 50% מהכנסות הקבוצה במטבע זר — בהיעדר השקעה ב-3 השנים האחרונות</v>
      </c>
      <c r="D12" s="497"/>
      <c r="E12" s="497"/>
      <c r="F12" s="174" t="str">
        <f>IF('3. אופק שרידות'!$C$50="מתקיים","✓","✗")</f>
        <v>✓</v>
      </c>
      <c r="G12" s="497" t="str">
        <f>"אופק שרידות של עד 12 חודשים"</f>
        <v>אופק שרידות של עד 12 חודשים</v>
      </c>
      <c r="H12" s="497"/>
      <c r="I12" s="500"/>
    </row>
    <row r="13" spans="1:11" ht="21.95" customHeight="1" x14ac:dyDescent="0.25">
      <c r="B13" s="496"/>
      <c r="C13" s="498" t="str">
        <f>IF('2.4 הכנסות והוצאות'!$C$30="כן","לא נדרש — הקבוצה גייסה השקעה ב-3 השנים האחרונות",TEXT($D$32,"0.0%")&amp;" מההכנסות במטבע זר")</f>
        <v>0.0% מההכנסות במטבע זר</v>
      </c>
      <c r="D13" s="499"/>
      <c r="E13" s="499"/>
      <c r="F13" s="175"/>
      <c r="G13" s="498" t="str">
        <f>TEXT('3. אופק שרידות'!$C$49,"0.0")&amp;" חודשים — מחושב בלשונית אופק שרידות"</f>
        <v>0.0 חודשים — מחושב בלשונית אופק שרידות</v>
      </c>
      <c r="H13" s="499"/>
      <c r="I13" s="501"/>
    </row>
    <row r="14" spans="1:11" ht="8.1" customHeight="1" x14ac:dyDescent="0.25"/>
    <row r="15" spans="1:11" ht="24" customHeight="1" x14ac:dyDescent="0.25">
      <c r="A15" s="374" t="s">
        <v>317</v>
      </c>
      <c r="B15" s="374"/>
      <c r="C15" s="374"/>
      <c r="D15" s="374"/>
      <c r="E15" s="374"/>
      <c r="F15" s="374"/>
      <c r="G15" s="374"/>
      <c r="H15" s="374"/>
      <c r="I15" s="374"/>
    </row>
    <row r="16" spans="1:11" ht="20.100000000000001" customHeight="1" x14ac:dyDescent="0.25">
      <c r="A16" s="494" t="s">
        <v>318</v>
      </c>
      <c r="B16" s="494"/>
      <c r="C16" s="494"/>
      <c r="D16" s="494"/>
      <c r="E16" s="494"/>
      <c r="F16" s="494"/>
      <c r="G16" s="494"/>
      <c r="H16" s="494"/>
      <c r="I16" s="494"/>
    </row>
    <row r="17" spans="1:9" ht="26.1" customHeight="1" x14ac:dyDescent="0.25">
      <c r="B17" s="493" t="s">
        <v>319</v>
      </c>
      <c r="C17" s="493"/>
      <c r="D17" s="493" t="s">
        <v>320</v>
      </c>
      <c r="E17" s="493"/>
      <c r="F17" s="493"/>
      <c r="G17" s="154" t="s">
        <v>152</v>
      </c>
      <c r="H17" s="493" t="s">
        <v>321</v>
      </c>
      <c r="I17" s="493"/>
    </row>
    <row r="18" spans="1:9" ht="33.950000000000003" customHeight="1" x14ac:dyDescent="0.25">
      <c r="B18" s="487" t="str">
        <f>"הוצאות גבוהות מהכנסות"</f>
        <v>הוצאות גבוהות מהכנסות</v>
      </c>
      <c r="C18" s="488"/>
      <c r="D18" s="489" t="str">
        <f>TEXT($D$26,"#,##0")&amp;" ₪  &gt;  "&amp;TEXT($D$25,"#,##0")&amp;" ₪"</f>
        <v>0 ₪  &gt;  0 ₪</v>
      </c>
      <c r="E18" s="490"/>
      <c r="F18" s="490"/>
      <c r="G18" s="176" t="str">
        <f>IF($D$26&gt;$D$25,"מתקיים","לא מתקיים")</f>
        <v>לא מתקיים</v>
      </c>
      <c r="H18" s="491" t="str">
        <f>"נתוני המבקש + ישויות קשורות שנכללו − ביטולים בין־חברתיים"</f>
        <v>נתוני המבקש + ישויות קשורות שנכללו − ביטולים בין־חברתיים</v>
      </c>
      <c r="I18" s="492"/>
    </row>
    <row r="19" spans="1:9" ht="33.950000000000003" customHeight="1" x14ac:dyDescent="0.25">
      <c r="B19" s="487" t="str">
        <f>"טווח הוצאות"</f>
        <v>טווח הוצאות</v>
      </c>
      <c r="C19" s="488"/>
      <c r="D19" s="489" t="str">
        <f>TEXT('1. מדריך והנחיות'!$D$20,"#,##0")&amp;" ₪  ≤  "&amp;TEXT($D$26,"#,##0")&amp;" ₪  &lt;  "&amp;TEXT('1. מדריך והנחיות'!$D$21,"#,##0")&amp;" ₪"</f>
        <v>1,500,000 ₪  ≤  0 ₪  &lt;  100,000,000 ₪</v>
      </c>
      <c r="E19" s="490"/>
      <c r="F19" s="490"/>
      <c r="G19" s="176" t="str">
        <f>IF(AND($D$26&gt;'1. מדריך והנחיות'!$D$20,$D$26&lt;='1. מדריך והנחיות'!$D$21),"מתקיים","לא מתקיים")</f>
        <v>לא מתקיים</v>
      </c>
      <c r="H19" s="491" t="str">
        <f>"סך ההוצאות המאוחד, לרבות פיתוח מהוון כאשר חל"</f>
        <v>סך ההוצאות המאוחד, לרבות פיתוח מהוון כאשר חל</v>
      </c>
      <c r="I19" s="492"/>
    </row>
    <row r="20" spans="1:9" ht="33.950000000000003" customHeight="1" x14ac:dyDescent="0.25">
      <c r="B20" s="487" t="str">
        <f>"שיעור מו״פ"</f>
        <v>שיעור מו״פ</v>
      </c>
      <c r="C20" s="488"/>
      <c r="D20" s="489" t="str">
        <f>TEXT($D$27,"#,##0")&amp;" ₪  ÷  "&amp;TEXT($D$26,"#,##0")&amp;" ₪  =  "&amp;TEXT($D$30,"0.0%")</f>
        <v>0 ₪  ÷  0 ₪  =  0.0%</v>
      </c>
      <c r="E20" s="490"/>
      <c r="F20" s="490"/>
      <c r="G20" s="177">
        <f>$D$30</f>
        <v>0</v>
      </c>
      <c r="H20" s="491" t="str">
        <f>"נדרש שיעור של לפחות "&amp;TEXT('1. מדריך והנחיות'!$D$22,"0%")</f>
        <v>נדרש שיעור של לפחות 40%</v>
      </c>
      <c r="I20" s="492"/>
    </row>
    <row r="21" spans="1:9" ht="33.950000000000003" customHeight="1" x14ac:dyDescent="0.25">
      <c r="B21" s="487" t="str">
        <f>"שיעור הוצאות בישראל"</f>
        <v>שיעור הוצאות בישראל</v>
      </c>
      <c r="C21" s="488"/>
      <c r="D21" s="489" t="str">
        <f>TEXT($D$28,"#,##0")&amp;" ₪  ÷  "&amp;TEXT($D$26,"#,##0")&amp;" ₪  =  "&amp;TEXT($D$31,"0.0%")</f>
        <v>0 ₪  ÷  0 ₪  =  0.0%</v>
      </c>
      <c r="E21" s="490"/>
      <c r="F21" s="490"/>
      <c r="G21" s="177">
        <f>$D$31</f>
        <v>0</v>
      </c>
      <c r="H21" s="491" t="str">
        <f>"נדרש שיעור של לפחות "&amp;TEXT('1. מדריך והנחיות'!$D$23,"0%")</f>
        <v>נדרש שיעור של לפחות 50%</v>
      </c>
      <c r="I21" s="492"/>
    </row>
    <row r="22" spans="1:9" ht="33.950000000000003" customHeight="1" x14ac:dyDescent="0.25">
      <c r="B22" s="479" t="str">
        <f>"שיעור הכנסות במטבע זר"</f>
        <v>שיעור הכנסות במטבע זר</v>
      </c>
      <c r="C22" s="480"/>
      <c r="D22" s="481" t="str">
        <f>TEXT($D$29,"#,##0")&amp;" ₪  ÷  "&amp;TEXT($D$25,"#,##0")&amp;" ₪  =  "&amp;TEXT($D$32,"0.0%")</f>
        <v>0 ₪  ÷  0 ₪  =  0.0%</v>
      </c>
      <c r="E22" s="482"/>
      <c r="F22" s="482"/>
      <c r="G22" s="178">
        <f>IF('2.4 הכנסות והוצאות'!$C$30="כן","לא נדרש",$D$32)</f>
        <v>0</v>
      </c>
      <c r="H22" s="483" t="str">
        <f>"נדרש מעל "&amp;TEXT('1. מדריך והנחיות'!$D$24,"0%")&amp;" בהיעדר השקעה במהלך 3 השנים שנבחנו"</f>
        <v>נדרש מעל 50% בהיעדר השקעה במהלך 3 השנים שנבחנו</v>
      </c>
      <c r="I22" s="484"/>
    </row>
    <row r="23" spans="1:9" ht="9.9499999999999993" customHeight="1" x14ac:dyDescent="0.25"/>
    <row r="24" spans="1:9" ht="24" customHeight="1" x14ac:dyDescent="0.25">
      <c r="A24" s="374" t="s">
        <v>312</v>
      </c>
      <c r="B24" s="374"/>
      <c r="C24" s="374"/>
      <c r="D24" s="374"/>
      <c r="E24" s="374"/>
      <c r="F24" s="374"/>
      <c r="G24" s="374"/>
      <c r="H24" s="374"/>
      <c r="I24" s="374"/>
    </row>
    <row r="25" spans="1:9" ht="20.100000000000001" customHeight="1" x14ac:dyDescent="0.25">
      <c r="B25" s="477" t="s">
        <v>131</v>
      </c>
      <c r="C25" s="478"/>
      <c r="D25" s="179">
        <f>'2.8 נתונים מאוחדים'!D24</f>
        <v>0</v>
      </c>
    </row>
    <row r="26" spans="1:9" ht="20.100000000000001" customHeight="1" x14ac:dyDescent="0.25">
      <c r="B26" s="477" t="s">
        <v>132</v>
      </c>
      <c r="C26" s="478"/>
      <c r="D26" s="179">
        <f>'2.8 נתונים מאוחדים'!E24</f>
        <v>0</v>
      </c>
    </row>
    <row r="27" spans="1:9" ht="20.100000000000001" customHeight="1" x14ac:dyDescent="0.25">
      <c r="B27" s="477" t="s">
        <v>133</v>
      </c>
      <c r="C27" s="478"/>
      <c r="D27" s="179">
        <f>'2.8 נתונים מאוחדים'!F24</f>
        <v>0</v>
      </c>
    </row>
    <row r="28" spans="1:9" ht="20.100000000000001" customHeight="1" x14ac:dyDescent="0.25">
      <c r="B28" s="477" t="s">
        <v>134</v>
      </c>
      <c r="C28" s="478"/>
      <c r="D28" s="179">
        <f>'2.8 נתונים מאוחדים'!G24</f>
        <v>0</v>
      </c>
    </row>
    <row r="29" spans="1:9" ht="20.100000000000001" customHeight="1" x14ac:dyDescent="0.25">
      <c r="B29" s="477" t="s">
        <v>135</v>
      </c>
      <c r="C29" s="478"/>
      <c r="D29" s="179">
        <f>'2.8 נתונים מאוחדים'!H24</f>
        <v>0</v>
      </c>
    </row>
    <row r="30" spans="1:9" ht="20.100000000000001" customHeight="1" x14ac:dyDescent="0.25">
      <c r="B30" s="477" t="s">
        <v>313</v>
      </c>
      <c r="C30" s="478"/>
      <c r="D30" s="180">
        <f>IF($D$26=0,0,$D$27/$D$26)</f>
        <v>0</v>
      </c>
    </row>
    <row r="31" spans="1:9" ht="20.100000000000001" customHeight="1" x14ac:dyDescent="0.25">
      <c r="B31" s="477" t="s">
        <v>314</v>
      </c>
      <c r="C31" s="478"/>
      <c r="D31" s="180">
        <f>IF($D$26=0,0,$D$28/$D$26)</f>
        <v>0</v>
      </c>
    </row>
    <row r="32" spans="1:9" ht="20.100000000000001" customHeight="1" x14ac:dyDescent="0.25">
      <c r="B32" s="485" t="s">
        <v>315</v>
      </c>
      <c r="C32" s="486"/>
      <c r="D32" s="181">
        <f>IF($D$25=0,0,$D$29/$D$25)</f>
        <v>0</v>
      </c>
    </row>
    <row r="33" spans="1:11" ht="9.9499999999999993" customHeight="1" thickBot="1" x14ac:dyDescent="0.3"/>
    <row r="34" spans="1:11" ht="24" customHeight="1" thickBot="1" x14ac:dyDescent="0.3">
      <c r="A34" s="374" t="s">
        <v>322</v>
      </c>
      <c r="B34" s="374"/>
      <c r="C34" s="374"/>
      <c r="D34" s="374"/>
      <c r="E34" s="374"/>
      <c r="F34" s="374"/>
      <c r="G34" s="374"/>
      <c r="H34" s="374"/>
      <c r="I34" s="374"/>
      <c r="K34" s="267" t="s">
        <v>498</v>
      </c>
    </row>
    <row r="35" spans="1:11" ht="21.95" customHeight="1" x14ac:dyDescent="0.25">
      <c r="B35" s="477" t="s">
        <v>136</v>
      </c>
      <c r="C35" s="478"/>
      <c r="D35" s="478"/>
      <c r="E35" s="478"/>
      <c r="F35" s="478"/>
      <c r="G35" s="478"/>
      <c r="H35" s="182"/>
      <c r="K35" s="258"/>
    </row>
    <row r="36" spans="1:11" x14ac:dyDescent="0.25"/>
  </sheetData>
  <sheetProtection algorithmName="SHA-512" hashValue="dDpK6lUFFl7HKMhSGC6W+cZ49tN9WBUdgfc0F1T4ZzXNOxtD9a04tRn87LrQeOyupSoCS83iNWZLq8EQzar0Qw==" saltValue="Nib2vcVkv+pgFLfUZLBiCA==" spinCount="100000" sheet="1" objects="1" scenarios="1" formatCells="0" insertHyperlinks="0" selectLockedCells="1"/>
  <mergeCells count="51">
    <mergeCell ref="K3:K4"/>
    <mergeCell ref="B12:B13"/>
    <mergeCell ref="C12:E12"/>
    <mergeCell ref="C13:E13"/>
    <mergeCell ref="A1:I1"/>
    <mergeCell ref="A2:I2"/>
    <mergeCell ref="G4:I4"/>
    <mergeCell ref="G6:I6"/>
    <mergeCell ref="G7:I7"/>
    <mergeCell ref="B17:C17"/>
    <mergeCell ref="D17:F17"/>
    <mergeCell ref="A15:I15"/>
    <mergeCell ref="A16:I16"/>
    <mergeCell ref="A4:F4"/>
    <mergeCell ref="B6:B7"/>
    <mergeCell ref="C6:E6"/>
    <mergeCell ref="C7:E7"/>
    <mergeCell ref="B9:B10"/>
    <mergeCell ref="C9:E9"/>
    <mergeCell ref="C10:E10"/>
    <mergeCell ref="H17:I17"/>
    <mergeCell ref="G9:I9"/>
    <mergeCell ref="G10:I10"/>
    <mergeCell ref="G12:I12"/>
    <mergeCell ref="G13:I13"/>
    <mergeCell ref="B18:C18"/>
    <mergeCell ref="D18:F18"/>
    <mergeCell ref="H18:I18"/>
    <mergeCell ref="B19:C19"/>
    <mergeCell ref="D19:F19"/>
    <mergeCell ref="H19:I19"/>
    <mergeCell ref="B20:C20"/>
    <mergeCell ref="D20:F20"/>
    <mergeCell ref="H20:I20"/>
    <mergeCell ref="B21:C21"/>
    <mergeCell ref="D21:F21"/>
    <mergeCell ref="H21:I21"/>
    <mergeCell ref="B35:G35"/>
    <mergeCell ref="B22:C22"/>
    <mergeCell ref="D22:F22"/>
    <mergeCell ref="H22:I22"/>
    <mergeCell ref="A34:I34"/>
    <mergeCell ref="B29:C29"/>
    <mergeCell ref="B30:C30"/>
    <mergeCell ref="B31:C31"/>
    <mergeCell ref="B32:C32"/>
    <mergeCell ref="A24:I24"/>
    <mergeCell ref="B25:C25"/>
    <mergeCell ref="B26:C26"/>
    <mergeCell ref="B27:C27"/>
    <mergeCell ref="B28:C28"/>
  </mergeCells>
  <conditionalFormatting sqref="B6">
    <cfRule type="containsText" dxfId="13" priority="2" operator="containsText" text="✗">
      <formula>NOT(ISERROR(SEARCH("✗",B6)))</formula>
    </cfRule>
    <cfRule type="containsText" dxfId="12" priority="3" operator="containsText" text="•">
      <formula>NOT(ISERROR(SEARCH("•",B6)))</formula>
    </cfRule>
  </conditionalFormatting>
  <conditionalFormatting sqref="B9">
    <cfRule type="containsText" dxfId="11" priority="6" operator="containsText" text="✗">
      <formula>NOT(ISERROR(SEARCH("✗",B9)))</formula>
    </cfRule>
    <cfRule type="containsText" dxfId="10" priority="7" operator="containsText" text="•">
      <formula>NOT(ISERROR(SEARCH("•",B9)))</formula>
    </cfRule>
  </conditionalFormatting>
  <conditionalFormatting sqref="B12">
    <cfRule type="containsText" dxfId="9" priority="10" operator="containsText" text="✗">
      <formula>NOT(ISERROR(SEARCH("✗",B12)))</formula>
    </cfRule>
    <cfRule type="containsText" dxfId="8" priority="11" operator="containsText" text="•">
      <formula>NOT(ISERROR(SEARCH("•",B12)))</formula>
    </cfRule>
  </conditionalFormatting>
  <conditionalFormatting sqref="F6">
    <cfRule type="containsText" dxfId="7" priority="4" operator="containsText" text="✗">
      <formula>NOT(ISERROR(SEARCH("✗",F6)))</formula>
    </cfRule>
    <cfRule type="containsText" dxfId="6" priority="5" operator="containsText" text="•">
      <formula>NOT(ISERROR(SEARCH("•",F6)))</formula>
    </cfRule>
  </conditionalFormatting>
  <conditionalFormatting sqref="F9">
    <cfRule type="containsText" dxfId="5" priority="8" operator="containsText" text="✗">
      <formula>NOT(ISERROR(SEARCH("✗",F9)))</formula>
    </cfRule>
    <cfRule type="containsText" dxfId="4" priority="9" operator="containsText" text="•">
      <formula>NOT(ISERROR(SEARCH("•",F9)))</formula>
    </cfRule>
  </conditionalFormatting>
  <conditionalFormatting sqref="F12">
    <cfRule type="containsText" dxfId="3" priority="12" operator="containsText" text="✗">
      <formula>NOT(ISERROR(SEARCH("✗",F12)))</formula>
    </cfRule>
    <cfRule type="containsText" dxfId="2" priority="13" operator="containsText" text="•">
      <formula>NOT(ISERROR(SEARCH("•",F12)))</formula>
    </cfRule>
  </conditionalFormatting>
  <conditionalFormatting sqref="G4">
    <cfRule type="containsText" dxfId="1" priority="1" operator="containsText" text="מתקיימים">
      <formula>NOT(ISERROR(SEARCH("מתקיימים",G4)))</formula>
    </cfRule>
  </conditionalFormatting>
  <conditionalFormatting sqref="H35">
    <cfRule type="containsText" dxfId="0" priority="14" operator="containsText" text="לא">
      <formula>NOT(ISERROR(SEARCH("לא",H35)))</formula>
    </cfRule>
  </conditionalFormatting>
  <dataValidations count="1">
    <dataValidation type="list" allowBlank="1" showInputMessage="1" showErrorMessage="1" errorTitle="ערך לא תקין" error="יש לבחור כן או לא." sqref="H35" xr:uid="{00000000-0002-0000-0A00-000000000000}">
      <formula1>"כן,לא"</formula1>
    </dataValidation>
  </dataValidations>
  <hyperlinks>
    <hyperlink ref="K1" location="'1. מדריך והנחיות'!A1" display="⌂  שלב 1 — מדריך והנחיות" xr:uid="{00000000-0004-0000-0A00-000000000000}"/>
    <hyperlink ref="K2" location="'3. אופק שרידות'!A1" display="→  הקודם: 3.0 אופק שרידות" xr:uid="{00000000-0004-0000-0A00-000001000000}"/>
    <hyperlink ref="K3" location="'4. אופק שרידות'!A1" display="הבא: 4. אופק שרידות  ←" xr:uid="{00000000-0004-0000-0A00-000002000000}"/>
    <hyperlink ref="K3:K4" location="'5. קצב הוצאות צפוי'!A1" display="הבא: 5. קצב הוצאות צפוי  ←" xr:uid="{C3816720-7671-403C-9D61-0C5987CD4629}"/>
  </hyperlinks>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L53"/>
  <sheetViews>
    <sheetView showGridLines="0" rightToLeft="1" zoomScale="115" zoomScaleNormal="115" workbookViewId="0">
      <selection activeCell="H1" sqref="H1"/>
    </sheetView>
  </sheetViews>
  <sheetFormatPr defaultColWidth="0" defaultRowHeight="15" zeroHeight="1" x14ac:dyDescent="0.25"/>
  <cols>
    <col min="1" max="1" width="3.5703125" style="42" customWidth="1"/>
    <col min="2" max="2" width="54.5703125" style="42" customWidth="1"/>
    <col min="3" max="5" width="26.42578125" style="42" customWidth="1"/>
    <col min="6" max="6" width="41.85546875" style="42" customWidth="1"/>
    <col min="7" max="7" width="1.7109375" style="42" customWidth="1"/>
    <col min="8" max="8" width="100.7109375" style="42" customWidth="1"/>
    <col min="9" max="9" width="1.7109375" style="42" customWidth="1"/>
    <col min="10" max="10" width="17.7109375" style="204" hidden="1" customWidth="1"/>
    <col min="11" max="11" width="16.42578125" style="204" hidden="1" customWidth="1"/>
    <col min="12" max="12" width="16.42578125" style="42" hidden="1" customWidth="1"/>
    <col min="13" max="16384" width="8.7109375" style="42" hidden="1"/>
  </cols>
  <sheetData>
    <row r="1" spans="2:11" ht="31.5" customHeight="1" x14ac:dyDescent="0.25">
      <c r="B1" s="389" t="s">
        <v>342</v>
      </c>
      <c r="C1" s="389"/>
      <c r="D1" s="389"/>
      <c r="E1" s="389"/>
      <c r="F1" s="389"/>
      <c r="H1" s="327" t="s">
        <v>413</v>
      </c>
    </row>
    <row r="2" spans="2:11" ht="21" customHeight="1" x14ac:dyDescent="0.25">
      <c r="B2" s="390" t="s">
        <v>343</v>
      </c>
      <c r="C2" s="390"/>
      <c r="D2" s="390"/>
      <c r="E2" s="390"/>
      <c r="F2" s="390"/>
      <c r="H2" s="328" t="s">
        <v>501</v>
      </c>
    </row>
    <row r="3" spans="2:11" ht="21.95" customHeight="1" x14ac:dyDescent="0.25">
      <c r="B3" s="459" t="s">
        <v>323</v>
      </c>
      <c r="C3" s="419"/>
      <c r="D3" s="459" t="s">
        <v>324</v>
      </c>
      <c r="E3" s="419"/>
      <c r="F3" s="420"/>
      <c r="H3" s="329" t="s">
        <v>494</v>
      </c>
    </row>
    <row r="4" spans="2:11" ht="32.1" customHeight="1" x14ac:dyDescent="0.25">
      <c r="B4" s="517" t="s">
        <v>344</v>
      </c>
      <c r="C4" s="518"/>
      <c r="D4" s="517" t="s">
        <v>345</v>
      </c>
      <c r="E4" s="518"/>
      <c r="F4" s="519"/>
      <c r="H4" s="325"/>
    </row>
    <row r="5" spans="2:11" ht="9.9499999999999993" customHeight="1" x14ac:dyDescent="0.25">
      <c r="B5" s="43"/>
      <c r="C5" s="43"/>
      <c r="D5" s="43"/>
      <c r="H5" s="205"/>
    </row>
    <row r="6" spans="2:11" ht="24" customHeight="1" x14ac:dyDescent="0.25">
      <c r="B6" s="206" t="str">
        <f>"⏱  תקופת החישוב:  "&amp;TEXT($K$7,"d.m.yyyy")&amp;"  עד  "&amp;TEXT($K$8,"d.m.yyyy")&amp;"  —  "&amp;TEXT($K$6,"0.00")&amp;" חודשים"</f>
        <v>⏱  תקופת החישוב:    עד    —  6.00 חודשים</v>
      </c>
      <c r="C6" s="207"/>
      <c r="D6" s="207"/>
      <c r="E6" s="207"/>
      <c r="F6" s="208"/>
      <c r="J6" s="209" t="s">
        <v>358</v>
      </c>
      <c r="K6" s="210">
        <f>N('3. אופק שרידות'!$C$49)+'1. מדריך והנחיות'!$D$18</f>
        <v>6</v>
      </c>
    </row>
    <row r="7" spans="2:11" ht="20.100000000000001" customHeight="1" x14ac:dyDescent="0.25">
      <c r="B7" s="184" t="str">
        <f>"נוסחה: תקופת התכנית = אופק השרידות ("&amp;TEXT('3. אופק שרידות'!$C$49,"0.00")&amp;" חודשים) + "&amp;TEXT('1. מדריך והנחיות'!$D$18,"0")&amp;" חודשי הארכה. מועד ההתחלה הוא מועד החתך שנקבע בלשונית פרטי בקשה."</f>
        <v>נוסחה: תקופת התכנית = אופק השרידות (0.00 חודשים) + 6 חודשי הארכה. מועד ההתחלה הוא מועד החתך שנקבע בלשונית פרטי בקשה.</v>
      </c>
      <c r="C7" s="184"/>
      <c r="D7" s="184"/>
      <c r="E7" s="184"/>
      <c r="F7" s="184"/>
      <c r="J7" s="211"/>
      <c r="K7" s="212" t="str">
        <f>'2.1 פרטי בקשה'!$C$9</f>
        <v/>
      </c>
    </row>
    <row r="8" spans="2:11" ht="24" customHeight="1" x14ac:dyDescent="0.25">
      <c r="B8" s="213" t="s">
        <v>346</v>
      </c>
      <c r="C8" s="183"/>
      <c r="D8" s="183"/>
      <c r="E8" s="183"/>
      <c r="F8" s="183"/>
      <c r="J8" s="211"/>
      <c r="K8" s="212" t="str">
        <f>IF(N($K$7)=0,"",$K$7+$K$6*30.4375)</f>
        <v/>
      </c>
    </row>
    <row r="9" spans="2:11" ht="26.1" customHeight="1" thickBot="1" x14ac:dyDescent="0.3">
      <c r="B9" s="307" t="s">
        <v>348</v>
      </c>
      <c r="C9" s="214"/>
      <c r="D9" s="214"/>
      <c r="E9" s="214"/>
      <c r="F9" s="215"/>
      <c r="H9" s="326"/>
    </row>
    <row r="10" spans="2:11" ht="30" customHeight="1" thickBot="1" x14ac:dyDescent="0.3">
      <c r="B10" s="49" t="s">
        <v>167</v>
      </c>
      <c r="C10" s="49" t="s">
        <v>168</v>
      </c>
      <c r="D10" s="393" t="s">
        <v>349</v>
      </c>
      <c r="E10" s="393"/>
      <c r="F10" s="393"/>
      <c r="H10" s="267" t="s">
        <v>498</v>
      </c>
    </row>
    <row r="11" spans="2:11" ht="21.95" customHeight="1" x14ac:dyDescent="0.25">
      <c r="B11" s="216" t="s">
        <v>169</v>
      </c>
      <c r="C11" s="222">
        <f>N('3. אופק שרידות'!C47)</f>
        <v>0</v>
      </c>
      <c r="D11" s="520" t="s">
        <v>350</v>
      </c>
      <c r="E11" s="520"/>
      <c r="F11" s="520"/>
    </row>
    <row r="12" spans="2:11" ht="21.95" customHeight="1" x14ac:dyDescent="0.25">
      <c r="B12" s="216" t="s">
        <v>170</v>
      </c>
      <c r="C12" s="222">
        <f>N('3. אופק שרידות'!C43)</f>
        <v>0</v>
      </c>
      <c r="D12" s="520" t="s">
        <v>351</v>
      </c>
      <c r="E12" s="520"/>
      <c r="F12" s="520"/>
    </row>
    <row r="13" spans="2:11" ht="21.95" customHeight="1" x14ac:dyDescent="0.25">
      <c r="B13" s="216" t="s">
        <v>171</v>
      </c>
      <c r="C13" s="317"/>
      <c r="D13" s="505"/>
      <c r="E13" s="506"/>
      <c r="F13" s="507"/>
      <c r="H13" s="258"/>
    </row>
    <row r="14" spans="2:11" ht="21.95" customHeight="1" x14ac:dyDescent="0.25">
      <c r="B14" s="216" t="s">
        <v>172</v>
      </c>
      <c r="C14" s="317"/>
      <c r="D14" s="505"/>
      <c r="E14" s="506"/>
      <c r="F14" s="507"/>
      <c r="H14" s="258"/>
    </row>
    <row r="15" spans="2:11" ht="21.95" customHeight="1" x14ac:dyDescent="0.25">
      <c r="B15" s="216" t="s">
        <v>173</v>
      </c>
      <c r="C15" s="317"/>
      <c r="D15" s="505"/>
      <c r="E15" s="506"/>
      <c r="F15" s="507"/>
      <c r="H15" s="258"/>
    </row>
    <row r="16" spans="2:11" ht="21.95" customHeight="1" x14ac:dyDescent="0.25">
      <c r="B16" s="216" t="s">
        <v>174</v>
      </c>
      <c r="C16" s="317"/>
      <c r="D16" s="505"/>
      <c r="E16" s="506"/>
      <c r="F16" s="507"/>
      <c r="H16" s="258"/>
    </row>
    <row r="17" spans="2:8" ht="21.95" customHeight="1" x14ac:dyDescent="0.25">
      <c r="B17" s="216" t="s">
        <v>175</v>
      </c>
      <c r="C17" s="317"/>
      <c r="D17" s="505"/>
      <c r="E17" s="506"/>
      <c r="F17" s="507"/>
      <c r="H17" s="258"/>
    </row>
    <row r="18" spans="2:8" ht="21.95" customHeight="1" x14ac:dyDescent="0.25">
      <c r="B18" s="217" t="s">
        <v>176</v>
      </c>
      <c r="C18" s="318"/>
      <c r="D18" s="505"/>
      <c r="E18" s="506"/>
      <c r="F18" s="507"/>
      <c r="H18" s="258"/>
    </row>
    <row r="19" spans="2:8" ht="24" customHeight="1" x14ac:dyDescent="0.25">
      <c r="B19" s="218" t="s">
        <v>177</v>
      </c>
      <c r="C19" s="223">
        <f>N(C11)+N(C12)+N(C13)+N(C15)+N(C16)+N(C17)+N(C18)</f>
        <v>0</v>
      </c>
      <c r="D19" s="514" t="str">
        <f>"= "&amp;TEXT($C$11,"#,##0")&amp;" + "&amp;TEXT($C$12,"#,##0")&amp;" + הזנות ידניות"</f>
        <v>= 0 + 0 + הזנות ידניות</v>
      </c>
      <c r="E19" s="514"/>
      <c r="F19" s="514"/>
    </row>
    <row r="20" spans="2:8" ht="24" customHeight="1" x14ac:dyDescent="0.25">
      <c r="B20" s="218" t="s">
        <v>178</v>
      </c>
      <c r="C20" s="223">
        <f>N(C19)+N(C14)</f>
        <v>0</v>
      </c>
      <c r="D20" s="514" t="str">
        <f>"= סה״כ לבסיס התקציב + מענקים ממשלתיים "&amp;TEXT(N($C$14),"#,##0")&amp;" ₪"</f>
        <v>= סה״כ לבסיס התקציב + מענקים ממשלתיים 0 ₪</v>
      </c>
      <c r="E20" s="514"/>
      <c r="F20" s="514"/>
    </row>
    <row r="21" spans="2:8" ht="9.9499999999999993" customHeight="1" x14ac:dyDescent="0.25">
      <c r="B21" s="43"/>
      <c r="C21" s="43"/>
      <c r="D21" s="43"/>
      <c r="E21" s="43"/>
    </row>
    <row r="22" spans="2:8" ht="24" customHeight="1" x14ac:dyDescent="0.25">
      <c r="B22" s="513" t="s">
        <v>347</v>
      </c>
      <c r="C22" s="374"/>
      <c r="D22" s="374"/>
      <c r="E22" s="374"/>
      <c r="F22" s="374"/>
    </row>
    <row r="23" spans="2:8" ht="30" customHeight="1" x14ac:dyDescent="0.25">
      <c r="B23" s="49" t="s">
        <v>179</v>
      </c>
      <c r="C23" s="49" t="s">
        <v>180</v>
      </c>
      <c r="D23" s="49" t="s">
        <v>181</v>
      </c>
      <c r="E23" s="515" t="s">
        <v>143</v>
      </c>
      <c r="F23" s="516"/>
    </row>
    <row r="24" spans="2:8" ht="21.95" customHeight="1" x14ac:dyDescent="0.25">
      <c r="B24" s="216" t="s">
        <v>182</v>
      </c>
      <c r="C24" s="127"/>
      <c r="D24" s="127"/>
      <c r="E24" s="521"/>
      <c r="F24" s="522"/>
      <c r="H24" s="258"/>
    </row>
    <row r="25" spans="2:8" ht="21.95" customHeight="1" x14ac:dyDescent="0.25">
      <c r="B25" s="216" t="s">
        <v>183</v>
      </c>
      <c r="C25" s="127"/>
      <c r="D25" s="127"/>
      <c r="E25" s="521"/>
      <c r="F25" s="522"/>
      <c r="H25" s="258"/>
    </row>
    <row r="26" spans="2:8" ht="21.95" customHeight="1" x14ac:dyDescent="0.25">
      <c r="B26" s="216" t="s">
        <v>184</v>
      </c>
      <c r="C26" s="127"/>
      <c r="D26" s="127"/>
      <c r="E26" s="521"/>
      <c r="F26" s="522"/>
      <c r="H26" s="258"/>
    </row>
    <row r="27" spans="2:8" ht="21.95" customHeight="1" x14ac:dyDescent="0.25">
      <c r="B27" s="216" t="s">
        <v>185</v>
      </c>
      <c r="C27" s="127"/>
      <c r="D27" s="127"/>
      <c r="E27" s="521"/>
      <c r="F27" s="522"/>
      <c r="H27" s="258"/>
    </row>
    <row r="28" spans="2:8" ht="21.95" customHeight="1" x14ac:dyDescent="0.25">
      <c r="B28" s="216" t="s">
        <v>186</v>
      </c>
      <c r="C28" s="127"/>
      <c r="D28" s="127"/>
      <c r="E28" s="521"/>
      <c r="F28" s="522"/>
      <c r="H28" s="258"/>
    </row>
    <row r="29" spans="2:8" ht="21.95" customHeight="1" x14ac:dyDescent="0.25">
      <c r="B29" s="216" t="s">
        <v>187</v>
      </c>
      <c r="C29" s="127"/>
      <c r="D29" s="127"/>
      <c r="E29" s="521"/>
      <c r="F29" s="522"/>
      <c r="H29" s="258"/>
    </row>
    <row r="30" spans="2:8" ht="21.95" customHeight="1" x14ac:dyDescent="0.25">
      <c r="B30" s="216" t="s">
        <v>188</v>
      </c>
      <c r="C30" s="127"/>
      <c r="D30" s="127"/>
      <c r="E30" s="521"/>
      <c r="F30" s="522"/>
      <c r="H30" s="258"/>
    </row>
    <row r="31" spans="2:8" ht="21.95" customHeight="1" x14ac:dyDescent="0.25">
      <c r="B31" s="216" t="s">
        <v>189</v>
      </c>
      <c r="C31" s="127"/>
      <c r="D31" s="127"/>
      <c r="E31" s="521"/>
      <c r="F31" s="522"/>
      <c r="H31" s="258"/>
    </row>
    <row r="32" spans="2:8" ht="21.95" customHeight="1" x14ac:dyDescent="0.25">
      <c r="B32" s="216" t="s">
        <v>86</v>
      </c>
      <c r="C32" s="127"/>
      <c r="D32" s="127"/>
      <c r="E32" s="521"/>
      <c r="F32" s="522"/>
      <c r="H32" s="258"/>
    </row>
    <row r="33" spans="2:11" ht="21.95" customHeight="1" x14ac:dyDescent="0.25">
      <c r="B33" s="216" t="s">
        <v>190</v>
      </c>
      <c r="C33" s="127"/>
      <c r="D33" s="127"/>
      <c r="E33" s="521"/>
      <c r="F33" s="522"/>
      <c r="H33" s="258"/>
    </row>
    <row r="34" spans="2:11" ht="21.95" customHeight="1" x14ac:dyDescent="0.25">
      <c r="B34" s="216" t="s">
        <v>191</v>
      </c>
      <c r="C34" s="127"/>
      <c r="D34" s="127"/>
      <c r="E34" s="521"/>
      <c r="F34" s="522"/>
      <c r="H34" s="258"/>
    </row>
    <row r="35" spans="2:11" ht="21.95" customHeight="1" x14ac:dyDescent="0.25">
      <c r="B35" s="216" t="s">
        <v>192</v>
      </c>
      <c r="C35" s="127"/>
      <c r="D35" s="127"/>
      <c r="E35" s="521"/>
      <c r="F35" s="522"/>
      <c r="H35" s="258"/>
    </row>
    <row r="36" spans="2:11" ht="21.95" customHeight="1" x14ac:dyDescent="0.25">
      <c r="B36" s="217" t="s">
        <v>193</v>
      </c>
      <c r="C36" s="128"/>
      <c r="D36" s="128"/>
      <c r="E36" s="521"/>
      <c r="F36" s="522"/>
      <c r="H36" s="258"/>
    </row>
    <row r="37" spans="2:11" ht="26.1" customHeight="1" x14ac:dyDescent="0.25">
      <c r="B37" s="219" t="s">
        <v>194</v>
      </c>
      <c r="C37" s="269">
        <f>SUM(C24:C36)</f>
        <v>0</v>
      </c>
      <c r="D37" s="269">
        <f>SUM(D24:D36)</f>
        <v>0</v>
      </c>
      <c r="E37" s="220">
        <f>SUM(E24:E36)</f>
        <v>0</v>
      </c>
      <c r="F37" s="221"/>
    </row>
    <row r="38" spans="2:11" s="130" customFormat="1" ht="27.95" customHeight="1" x14ac:dyDescent="0.25">
      <c r="B38" s="308" t="s">
        <v>195</v>
      </c>
      <c r="C38" s="268">
        <f>IF(N($K$6)=0,0,N($C$37)/N($K$6))</f>
        <v>0</v>
      </c>
      <c r="D38" s="319" t="str">
        <f>"= "&amp;TEXT($C$37,"#,##0")&amp;" ₪  ÷  "&amp;TEXT($K$6,"0.00")&amp;" חודשים"</f>
        <v>= 0 ₪  ÷  6.00 חודשים</v>
      </c>
      <c r="E38" s="309"/>
      <c r="F38" s="310"/>
      <c r="J38" s="311"/>
      <c r="K38" s="311"/>
    </row>
    <row r="39" spans="2:11" ht="9.9499999999999993" customHeight="1" x14ac:dyDescent="0.25"/>
    <row r="40" spans="2:11" ht="24" customHeight="1" x14ac:dyDescent="0.25">
      <c r="B40" s="374" t="s">
        <v>352</v>
      </c>
      <c r="C40" s="374"/>
      <c r="D40" s="374"/>
      <c r="E40" s="374"/>
      <c r="F40" s="374"/>
    </row>
    <row r="41" spans="2:11" ht="30" customHeight="1" x14ac:dyDescent="0.25">
      <c r="B41" s="470" t="str">
        <f>TEXT($C$37,"#,##0")&amp;" ₪  ÷  "&amp;TEXT($K$6,"0.00")&amp;" חודשים  =  "&amp;TEXT($C$38,"#,##0")&amp;" ₪ לחודש"</f>
        <v>0 ₪  ÷  6.00 חודשים  =  0 ₪ לחודש</v>
      </c>
      <c r="C41" s="471"/>
      <c r="D41" s="471"/>
      <c r="E41" s="471"/>
      <c r="F41" s="472"/>
    </row>
    <row r="42" spans="2:11" s="130" customFormat="1" ht="18" customHeight="1" x14ac:dyDescent="0.25">
      <c r="B42" s="512" t="s">
        <v>353</v>
      </c>
      <c r="C42" s="512"/>
      <c r="D42" s="512"/>
      <c r="E42" s="512"/>
      <c r="F42" s="512"/>
      <c r="J42" s="311"/>
      <c r="K42" s="311"/>
    </row>
    <row r="43" spans="2:11" ht="8.1" customHeight="1" x14ac:dyDescent="0.25"/>
    <row r="44" spans="2:11" ht="26.1" customHeight="1" x14ac:dyDescent="0.25">
      <c r="B44" s="154" t="s">
        <v>319</v>
      </c>
      <c r="C44" s="493" t="s">
        <v>336</v>
      </c>
      <c r="D44" s="493"/>
      <c r="E44" s="154" t="s">
        <v>152</v>
      </c>
      <c r="F44" s="154" t="s">
        <v>337</v>
      </c>
    </row>
    <row r="45" spans="2:11" ht="27.95" customHeight="1" x14ac:dyDescent="0.25">
      <c r="B45" s="155" t="str">
        <f>"1. תקופת התכנית"</f>
        <v>1. תקופת התכנית</v>
      </c>
      <c r="C45" s="508" t="str">
        <f>TEXT('3. אופק שרידות'!$C$49,"0.0")&amp;"  +  "&amp;TEXT('1. מדריך והנחיות'!$D$18,"0")</f>
        <v>0.0  +  6</v>
      </c>
      <c r="D45" s="509"/>
      <c r="E45" s="320">
        <f>$K$6</f>
        <v>6</v>
      </c>
      <c r="F45" s="158" t="str">
        <f>"אופק שרידות + תקופת מו״פ נוספת"</f>
        <v>אופק שרידות + תקופת מו״פ נוספת</v>
      </c>
    </row>
    <row r="46" spans="2:11" ht="27.95" customHeight="1" x14ac:dyDescent="0.25">
      <c r="B46" s="155" t="str">
        <f>"2. מקורות לבסיס התקציב"</f>
        <v>2. מקורות לבסיס התקציב</v>
      </c>
      <c r="C46" s="508" t="str">
        <f>TEXT($C$11,"#,##0")&amp;" ₪  +  "&amp;TEXT($C$12,"#,##0")&amp;" ₪  +  הזנות"</f>
        <v>0 ₪  +  0 ₪  +  הזנות</v>
      </c>
      <c r="D46" s="509"/>
      <c r="E46" s="272">
        <f>$C$19</f>
        <v>0</v>
      </c>
      <c r="F46" s="158" t="str">
        <f>"הון חוזר + מקורות חתומים + מקורות צפויים"</f>
        <v>הון חוזר + מקורות חתומים + מקורות צפויים</v>
      </c>
    </row>
    <row r="47" spans="2:11" ht="27.95" customHeight="1" x14ac:dyDescent="0.25">
      <c r="B47" s="155" t="str">
        <f>"3. סה״כ שימושים"</f>
        <v>3. סה״כ שימושים</v>
      </c>
      <c r="C47" s="508" t="str">
        <f>"סכום כל שורות השימושים"</f>
        <v>סכום כל שורות השימושים</v>
      </c>
      <c r="D47" s="509"/>
      <c r="E47" s="272">
        <f>$C$37</f>
        <v>0</v>
      </c>
      <c r="F47" s="158" t="str">
        <f>"כל ההוצאות שתוכננו בתקופת התכנית"</f>
        <v>כל ההוצאות שתוכננו בתקופת התכנית</v>
      </c>
    </row>
    <row r="48" spans="2:11" ht="27.95" customHeight="1" x14ac:dyDescent="0.25">
      <c r="B48" s="155" t="str">
        <f>"4. קצב הוצאה חודשי צפוי"</f>
        <v>4. קצב הוצאה חודשי צפוי</v>
      </c>
      <c r="C48" s="508" t="str">
        <f>TEXT($C$37,"#,##0")&amp;" ₪  ÷  "&amp;TEXT($K$6,"0.00")</f>
        <v>0 ₪  ÷  6.00</v>
      </c>
      <c r="D48" s="509"/>
      <c r="E48" s="272">
        <f>$C$38</f>
        <v>0</v>
      </c>
      <c r="F48" s="158" t="str">
        <f>"בסיס חישוב המענק"</f>
        <v>בסיס חישוב המענק</v>
      </c>
    </row>
    <row r="49" spans="2:6" ht="27.95" customHeight="1" x14ac:dyDescent="0.25">
      <c r="B49" s="159" t="str">
        <f>"5. יתרה לפני המענק"</f>
        <v>5. יתרה לפני המענק</v>
      </c>
      <c r="C49" s="510" t="str">
        <f>TEXT($C$20,"#,##0")&amp;" ₪  −  "&amp;TEXT($C$37,"#,##0")&amp;" ₪"</f>
        <v>0 ₪  −  0 ₪</v>
      </c>
      <c r="D49" s="511"/>
      <c r="E49" s="273">
        <f>$C$20-$C$37</f>
        <v>0</v>
      </c>
      <c r="F49" s="162" t="str">
        <f>"בקרת מקורות מול שימושים"</f>
        <v>בקרת מקורות מול שימושים</v>
      </c>
    </row>
    <row r="50" spans="2:6" ht="8.1" customHeight="1" x14ac:dyDescent="0.25"/>
    <row r="51" spans="2:6" ht="24" customHeight="1" x14ac:dyDescent="0.25">
      <c r="B51" s="164" t="s">
        <v>354</v>
      </c>
      <c r="C51" s="163" t="s">
        <v>194</v>
      </c>
      <c r="D51" s="163" t="s">
        <v>355</v>
      </c>
      <c r="E51" s="163" t="s">
        <v>356</v>
      </c>
      <c r="F51" s="193" t="s">
        <v>357</v>
      </c>
    </row>
    <row r="52" spans="2:6" ht="27.95" customHeight="1" x14ac:dyDescent="0.25">
      <c r="B52" s="270">
        <f>$C$38</f>
        <v>0</v>
      </c>
      <c r="C52" s="271">
        <f>$C$37</f>
        <v>0</v>
      </c>
      <c r="D52" s="271">
        <f>$D$37</f>
        <v>0</v>
      </c>
      <c r="E52" s="192">
        <f>$E$37</f>
        <v>0</v>
      </c>
      <c r="F52" s="274">
        <f>$K$6</f>
        <v>6</v>
      </c>
    </row>
    <row r="53" spans="2:6" x14ac:dyDescent="0.25"/>
  </sheetData>
  <sheetProtection algorithmName="SHA-512" hashValue="h5Ln3xY/6m6tpXRn74QjMeWOihqQX60njEmw7+EYTGfa/MxL+XJChYKVcKlZv7Xke4e3hmqgNkfy0XYv3FH4cg==" saltValue="04pUtRNT+vSQNB0M/ZexIA==" spinCount="100000" sheet="1" objects="1" scenarios="1" formatCells="0" insertHyperlinks="0" selectLockedCells="1"/>
  <mergeCells count="41">
    <mergeCell ref="E34:F34"/>
    <mergeCell ref="E35:F35"/>
    <mergeCell ref="E36:F36"/>
    <mergeCell ref="E29:F29"/>
    <mergeCell ref="E30:F30"/>
    <mergeCell ref="E31:F31"/>
    <mergeCell ref="E32:F32"/>
    <mergeCell ref="E33:F33"/>
    <mergeCell ref="E24:F24"/>
    <mergeCell ref="E25:F25"/>
    <mergeCell ref="E26:F26"/>
    <mergeCell ref="E27:F27"/>
    <mergeCell ref="E28:F28"/>
    <mergeCell ref="D10:F10"/>
    <mergeCell ref="D11:F11"/>
    <mergeCell ref="D12:F12"/>
    <mergeCell ref="D15:F15"/>
    <mergeCell ref="D16:F16"/>
    <mergeCell ref="D14:F14"/>
    <mergeCell ref="B1:F1"/>
    <mergeCell ref="B2:F2"/>
    <mergeCell ref="B3:C3"/>
    <mergeCell ref="D3:F3"/>
    <mergeCell ref="B4:C4"/>
    <mergeCell ref="D4:F4"/>
    <mergeCell ref="B40:F40"/>
    <mergeCell ref="D13:F13"/>
    <mergeCell ref="C47:D47"/>
    <mergeCell ref="C48:D48"/>
    <mergeCell ref="C49:D49"/>
    <mergeCell ref="B41:F41"/>
    <mergeCell ref="B42:F42"/>
    <mergeCell ref="C44:D44"/>
    <mergeCell ref="C45:D45"/>
    <mergeCell ref="C46:D46"/>
    <mergeCell ref="B22:F22"/>
    <mergeCell ref="D17:F17"/>
    <mergeCell ref="D18:F18"/>
    <mergeCell ref="D19:F19"/>
    <mergeCell ref="D20:F20"/>
    <mergeCell ref="E23:F23"/>
  </mergeCells>
  <hyperlinks>
    <hyperlink ref="H1" location="'1. מדריך והנחיות'!A1" display="⌂  שלב 1 — מדריך והנחיות" xr:uid="{00000000-0004-0000-0B00-000000000000}"/>
    <hyperlink ref="H2" location="'4. תנאי סף'!A1" display="→  הקודם: 4. תנאי סף" xr:uid="{00000000-0004-0000-0B00-000001000000}"/>
    <hyperlink ref="H3" location="'6 חישוב מענק'!A1" display="הבא: 6 חישוב מענק  ←" xr:uid="{00000000-0004-0000-0B00-000002000000}"/>
  </hyperlinks>
  <pageMargins left="0.7" right="0.7" top="0.75" bottom="0.75" header="0.511811023622047" footer="0.511811023622047"/>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J56"/>
  <sheetViews>
    <sheetView showGridLines="0" rightToLeft="1" zoomScaleNormal="100" workbookViewId="0">
      <selection activeCell="H1" sqref="H1"/>
    </sheetView>
  </sheetViews>
  <sheetFormatPr defaultColWidth="0" defaultRowHeight="15" zeroHeight="1" x14ac:dyDescent="0.25"/>
  <cols>
    <col min="1" max="1" width="3.5703125" style="42" customWidth="1"/>
    <col min="2" max="2" width="60" style="42" customWidth="1"/>
    <col min="3" max="4" width="34.5703125" style="42" customWidth="1"/>
    <col min="5" max="5" width="35.7109375" style="42" customWidth="1"/>
    <col min="6" max="6" width="80.7109375" style="42" customWidth="1"/>
    <col min="7" max="7" width="1.7109375" style="42" customWidth="1"/>
    <col min="8" max="8" width="30.85546875" style="42" customWidth="1"/>
    <col min="9" max="9" width="1.7109375" style="42" customWidth="1"/>
    <col min="10" max="10" width="0" style="42" hidden="1" customWidth="1"/>
    <col min="11" max="16384" width="8.7109375" style="42" hidden="1"/>
  </cols>
  <sheetData>
    <row r="1" spans="2:8" ht="31.5" customHeight="1" x14ac:dyDescent="0.25">
      <c r="B1" s="451" t="s">
        <v>480</v>
      </c>
      <c r="C1" s="389"/>
      <c r="D1" s="389"/>
      <c r="E1" s="389"/>
      <c r="F1" s="389"/>
      <c r="H1" s="330" t="s">
        <v>413</v>
      </c>
    </row>
    <row r="2" spans="2:8" ht="21" customHeight="1" x14ac:dyDescent="0.25">
      <c r="B2" s="545" t="s">
        <v>359</v>
      </c>
      <c r="C2" s="545"/>
      <c r="D2" s="545"/>
      <c r="E2" s="545"/>
      <c r="F2" s="545"/>
      <c r="H2" s="331" t="s">
        <v>429</v>
      </c>
    </row>
    <row r="3" spans="2:8" ht="21.95" customHeight="1" x14ac:dyDescent="0.25">
      <c r="B3" s="459" t="s">
        <v>323</v>
      </c>
      <c r="C3" s="419"/>
      <c r="D3" s="459" t="s">
        <v>324</v>
      </c>
      <c r="E3" s="419"/>
      <c r="F3" s="420"/>
    </row>
    <row r="4" spans="2:8" ht="30" customHeight="1" x14ac:dyDescent="0.25">
      <c r="B4" s="546" t="s">
        <v>360</v>
      </c>
      <c r="C4" s="547"/>
      <c r="D4" s="548" t="s">
        <v>361</v>
      </c>
      <c r="E4" s="549"/>
      <c r="F4" s="550"/>
    </row>
    <row r="5" spans="2:8" ht="24" customHeight="1" x14ac:dyDescent="0.25">
      <c r="B5" s="316" t="s">
        <v>362</v>
      </c>
      <c r="C5" s="185"/>
      <c r="D5" s="185"/>
      <c r="E5" s="185"/>
      <c r="F5" s="186"/>
    </row>
    <row r="6" spans="2:8" ht="24" customHeight="1" x14ac:dyDescent="0.25">
      <c r="B6" s="187" t="s">
        <v>363</v>
      </c>
      <c r="C6" s="187"/>
      <c r="D6" s="187"/>
      <c r="E6" s="187"/>
      <c r="F6" s="187"/>
    </row>
    <row r="7" spans="2:8" ht="30" customHeight="1" x14ac:dyDescent="0.25">
      <c r="B7" s="49" t="s">
        <v>124</v>
      </c>
      <c r="C7" s="49" t="s">
        <v>196</v>
      </c>
      <c r="D7" s="49" t="s">
        <v>197</v>
      </c>
      <c r="E7" s="393" t="s">
        <v>198</v>
      </c>
      <c r="F7" s="393"/>
    </row>
    <row r="8" spans="2:8" ht="24" customHeight="1" x14ac:dyDescent="0.25">
      <c r="B8" s="188" t="s">
        <v>195</v>
      </c>
      <c r="C8" s="275">
        <f>N('5. קצב הוצאות צפוי'!C38)</f>
        <v>0</v>
      </c>
      <c r="D8" s="275">
        <f>N('5. קצב הוצאות צפוי'!C38)</f>
        <v>0</v>
      </c>
      <c r="E8" s="542" t="s">
        <v>199</v>
      </c>
      <c r="F8" s="542"/>
    </row>
    <row r="9" spans="2:8" ht="24" customHeight="1" x14ac:dyDescent="0.25">
      <c r="B9" s="188" t="s">
        <v>200</v>
      </c>
      <c r="C9" s="275">
        <f>N(C8)*'1. מדריך והנחיות'!$D$18</f>
        <v>0</v>
      </c>
      <c r="D9" s="275">
        <f>N(D8)*'1. מדריך והנחיות'!$D$18</f>
        <v>0</v>
      </c>
      <c r="E9" s="542" t="s">
        <v>199</v>
      </c>
      <c r="F9" s="542"/>
    </row>
    <row r="10" spans="2:8" ht="24" customHeight="1" x14ac:dyDescent="0.25">
      <c r="B10" s="188" t="s">
        <v>201</v>
      </c>
      <c r="C10" s="275">
        <f>N(C8)*2</f>
        <v>0</v>
      </c>
      <c r="D10" s="275">
        <f>N(D8)*3</f>
        <v>0</v>
      </c>
      <c r="E10" s="535"/>
      <c r="F10" s="535"/>
    </row>
    <row r="11" spans="2:8" ht="24" customHeight="1" x14ac:dyDescent="0.25">
      <c r="B11" s="188" t="s">
        <v>202</v>
      </c>
      <c r="C11" s="275">
        <f>N('5. קצב הוצאות צפוי'!C19)+N(C10)</f>
        <v>0</v>
      </c>
      <c r="D11" s="275">
        <f>N('5. קצב הוצאות צפוי'!C19)+N(D10)</f>
        <v>0</v>
      </c>
      <c r="E11" s="535"/>
      <c r="F11" s="535"/>
    </row>
    <row r="12" spans="2:8" ht="24" customHeight="1" x14ac:dyDescent="0.25">
      <c r="B12" s="188" t="s">
        <v>203</v>
      </c>
      <c r="C12" s="275">
        <f>N('4. תנאי סף'!$D$30)*N(C11)</f>
        <v>0</v>
      </c>
      <c r="D12" s="275">
        <f>N('4. תנאי סף'!$D$30)*N(D11)</f>
        <v>0</v>
      </c>
      <c r="E12" s="535"/>
      <c r="F12" s="535"/>
    </row>
    <row r="13" spans="2:8" ht="24" customHeight="1" x14ac:dyDescent="0.25">
      <c r="B13" s="188" t="s">
        <v>204</v>
      </c>
      <c r="C13" s="275">
        <f>MIN(N(C12),N('5. קצב הוצאות צפוי'!$D$37))</f>
        <v>0</v>
      </c>
      <c r="D13" s="275">
        <f>MIN(N(D12),N('5. קצב הוצאות צפוי'!$D$37))</f>
        <v>0</v>
      </c>
      <c r="E13" s="535"/>
      <c r="F13" s="535"/>
    </row>
    <row r="14" spans="2:8" ht="24" customHeight="1" x14ac:dyDescent="0.25">
      <c r="B14" s="188" t="s">
        <v>205</v>
      </c>
      <c r="C14" s="275">
        <f>MIN(N(C10),N(C13))</f>
        <v>0</v>
      </c>
      <c r="D14" s="275">
        <f>MIN(N(D10),N(D13))</f>
        <v>0</v>
      </c>
      <c r="E14" s="535"/>
      <c r="F14" s="535"/>
    </row>
    <row r="15" spans="2:8" ht="24" customHeight="1" x14ac:dyDescent="0.25">
      <c r="B15" s="188" t="s">
        <v>206</v>
      </c>
      <c r="C15" s="275">
        <f>IF(N(C9)&lt;'1. מדריך והנחיות'!$D$27,'1. מדריך והנחיות'!$D$25,'1. מדריך והנחיות'!$D$26)</f>
        <v>2000000</v>
      </c>
      <c r="D15" s="275">
        <f>IF(N(D9)&lt;'1. מדריך והנחיות'!$D$27,'1. מדריך והנחיות'!$D$25,'1. מדריך והנחיות'!$D$26)</f>
        <v>2000000</v>
      </c>
      <c r="E15" s="542" t="s">
        <v>199</v>
      </c>
      <c r="F15" s="543"/>
    </row>
    <row r="16" spans="2:8" ht="24" customHeight="1" x14ac:dyDescent="0.25">
      <c r="B16" s="189" t="s">
        <v>481</v>
      </c>
      <c r="C16" s="276">
        <f>MIN(N(C14),N(C15))</f>
        <v>0</v>
      </c>
      <c r="D16" s="276">
        <f>MIN(N(D14),N(D15))</f>
        <v>0</v>
      </c>
      <c r="E16" s="544"/>
      <c r="F16" s="544"/>
    </row>
    <row r="17" spans="2:6" ht="24" customHeight="1" x14ac:dyDescent="0.25">
      <c r="B17" s="188" t="s">
        <v>207</v>
      </c>
      <c r="C17" s="277">
        <f>IF(N(C13)=0,0,N(C16)/N(C13))</f>
        <v>0</v>
      </c>
      <c r="D17" s="277">
        <f>IF(N(D13)=0,0,N(D16)/N(D13))</f>
        <v>0</v>
      </c>
      <c r="E17" s="535"/>
      <c r="F17" s="535"/>
    </row>
    <row r="18" spans="2:6" ht="24" customHeight="1" x14ac:dyDescent="0.25">
      <c r="B18" s="188" t="s">
        <v>208</v>
      </c>
      <c r="C18" s="275">
        <f>MAX(0,N(C13)-N(C16))</f>
        <v>0</v>
      </c>
      <c r="D18" s="275">
        <f>MAX(0,N(D13)-N(D16))</f>
        <v>0</v>
      </c>
      <c r="E18" s="535"/>
      <c r="F18" s="535"/>
    </row>
    <row r="19" spans="2:6" ht="24" customHeight="1" x14ac:dyDescent="0.25">
      <c r="B19" s="188" t="s">
        <v>209</v>
      </c>
      <c r="C19" s="275">
        <f>N('5. קצב הוצאות צפוי'!C20)+N(C16)-N('5. קצב הוצאות צפוי'!C37)</f>
        <v>0</v>
      </c>
      <c r="D19" s="275">
        <f>N('5. קצב הוצאות צפוי'!C20)+N(D16)-N('5. קצב הוצאות צפוי'!C37)</f>
        <v>0</v>
      </c>
      <c r="E19" s="535"/>
      <c r="F19" s="535"/>
    </row>
    <row r="20" spans="2:6" ht="9.9499999999999993" customHeight="1" x14ac:dyDescent="0.25"/>
    <row r="21" spans="2:6" ht="24" customHeight="1" x14ac:dyDescent="0.25">
      <c r="B21" s="536" t="str">
        <f>"המסלול המתאים לפי התחזית: "&amp;IF($C$9&gt;='1. מדריך והנחיות'!$D$27,"חברות צמיחה מוקדמת (Early Growth)","חברות מתחילות (Startup)")</f>
        <v>המסלול המתאים לפי התחזית: חברות מתחילות (Startup)</v>
      </c>
      <c r="C21" s="537"/>
      <c r="D21" s="537"/>
      <c r="E21" s="537"/>
      <c r="F21" s="538"/>
    </row>
    <row r="22" spans="2:6" ht="26.1" customHeight="1" x14ac:dyDescent="0.25">
      <c r="B22" s="539" t="str">
        <f>TEXT($C$8,"#,##0")&amp;" ₪ לחודש  ×  "&amp;TEXT('1. מדריך והנחיות'!$D$18,"0")&amp;" חודשים  =  "&amp;TEXT($C$9,"#,##0")&amp;" ₪"</f>
        <v>0 ₪ לחודש  ×  6 חודשים  =  0 ₪</v>
      </c>
      <c r="C22" s="540"/>
      <c r="D22" s="540"/>
      <c r="E22" s="540"/>
      <c r="F22" s="541"/>
    </row>
    <row r="23" spans="2:6" ht="21.95" customHeight="1" x14ac:dyDescent="0.25">
      <c r="B23" s="532" t="str">
        <f>"ההוצאות הצפויות לששת חודשי ההארכה הן "&amp;IF($C$9&gt;='1. מדריך והנחיות'!$D$27,"מעל ","מתחת ל-")&amp;TEXT('1. מדריך והנחיות'!$D$27,"#,##0")&amp;" ₪. הסיווג מבוסס רק על ההוצאות הצפויות בתקופת ההארכה בת ששת החודשים. תקרת המענק במסלול: "&amp;TEXT(IF($C$9&gt;='1. מדריך והנחיות'!$D$27,'1. מדריך והנחיות'!$D$26,'1. מדריך והנחיות'!$D$25),"#,##0")&amp;" ₪."</f>
        <v>ההוצאות הצפויות לששת חודשי ההארכה הן מתחת ל-4,000,000 ₪. הסיווג מבוסס רק על ההוצאות הצפויות בתקופת ההארכה בת ששת החודשים. תקרת המענק במסלול: 2,000,000 ₪.</v>
      </c>
      <c r="C23" s="533"/>
      <c r="D23" s="533"/>
      <c r="E23" s="533"/>
      <c r="F23" s="534"/>
    </row>
    <row r="24" spans="2:6" ht="9.9499999999999993" customHeight="1" thickBot="1" x14ac:dyDescent="0.3"/>
    <row r="25" spans="2:6" ht="24" customHeight="1" thickBot="1" x14ac:dyDescent="0.3">
      <c r="B25" s="396" t="s">
        <v>364</v>
      </c>
      <c r="C25" s="396"/>
      <c r="D25" s="396"/>
      <c r="F25" s="267" t="s">
        <v>498</v>
      </c>
    </row>
    <row r="26" spans="2:6" ht="26.1" customHeight="1" x14ac:dyDescent="0.25">
      <c r="B26" s="190" t="s">
        <v>365</v>
      </c>
      <c r="C26" s="203"/>
      <c r="D26" s="285" t="str">
        <f>"בהנחה שהוועדה תאשר "&amp;$C$26&amp;" חודשי מענק ("&amp;TEXT($C$26/'1. מדריך והנחיות'!$D$18,"0%")&amp;" מתקופת ההארכה)"</f>
        <v>בהנחה שהוועדה תאשר  חודשי מענק (0% מתקופת ההארכה)</v>
      </c>
      <c r="E26" s="285"/>
      <c r="F26" s="258"/>
    </row>
    <row r="27" spans="2:6" s="311" customFormat="1" ht="30" customHeight="1" x14ac:dyDescent="0.25">
      <c r="B27" s="312" t="str">
        <f>TEXT($C$8,"#,##0")&amp;" ₪ לחודש  ×  "&amp;$C$26&amp;" חודשים  =  "&amp;TEXT(IF($C$26=2,$C$16,$D$16),"#,##0")&amp;" ₪ מענק לאחר בקרות"</f>
        <v>0 ₪ לחודש  ×   חודשים  =  0 ₪ מענק לאחר בקרות</v>
      </c>
      <c r="C27" s="314"/>
      <c r="D27" s="314"/>
      <c r="E27" s="314"/>
      <c r="F27" s="315"/>
    </row>
    <row r="28" spans="2:6" ht="8.1" customHeight="1" x14ac:dyDescent="0.25"/>
    <row r="29" spans="2:6" ht="24" customHeight="1" x14ac:dyDescent="0.25">
      <c r="B29" s="164" t="s">
        <v>25</v>
      </c>
      <c r="C29" s="163" t="s">
        <v>366</v>
      </c>
      <c r="D29" s="163" t="s">
        <v>195</v>
      </c>
      <c r="E29" s="191" t="s">
        <v>367</v>
      </c>
    </row>
    <row r="30" spans="2:6" s="130" customFormat="1" ht="27.95" customHeight="1" x14ac:dyDescent="0.25">
      <c r="B30" s="278">
        <f>'3. אופק שרידות'!$C$49</f>
        <v>0</v>
      </c>
      <c r="C30" s="279">
        <f>'5. קצב הוצאות צפוי'!$K$6</f>
        <v>6</v>
      </c>
      <c r="D30" s="271">
        <f>$C$8</f>
        <v>0</v>
      </c>
      <c r="E30" s="280">
        <f>IF($C$26=2,$C$16,$D$16)</f>
        <v>0</v>
      </c>
    </row>
    <row r="31" spans="2:6" s="130" customFormat="1" ht="6" customHeight="1" x14ac:dyDescent="0.25"/>
    <row r="32" spans="2:6" s="130" customFormat="1" ht="24" customHeight="1" x14ac:dyDescent="0.25">
      <c r="B32" s="281" t="s">
        <v>368</v>
      </c>
      <c r="C32" s="281" t="s">
        <v>207</v>
      </c>
      <c r="D32" s="281" t="s">
        <v>208</v>
      </c>
      <c r="E32" s="282" t="s">
        <v>209</v>
      </c>
    </row>
    <row r="33" spans="2:6" s="130" customFormat="1" ht="27.95" customHeight="1" x14ac:dyDescent="0.25">
      <c r="B33" s="271">
        <f>IF($C$26=2,$C$13,$D$13)</f>
        <v>0</v>
      </c>
      <c r="C33" s="283">
        <f>IF($C$26=2,$C$17,$D$17)</f>
        <v>0</v>
      </c>
      <c r="D33" s="271">
        <f>IF($C$26=2,$C$18,$D$18)</f>
        <v>0</v>
      </c>
      <c r="E33" s="284">
        <f>IF($C$26=2,$C$19,$D$19)</f>
        <v>0</v>
      </c>
    </row>
    <row r="34" spans="2:6" ht="9.9499999999999993" customHeight="1" x14ac:dyDescent="0.25"/>
    <row r="35" spans="2:6" ht="24" customHeight="1" x14ac:dyDescent="0.25">
      <c r="B35" s="374" t="s">
        <v>369</v>
      </c>
      <c r="C35" s="374"/>
      <c r="D35" s="374"/>
      <c r="E35" s="374"/>
      <c r="F35" s="374"/>
    </row>
    <row r="36" spans="2:6" ht="26.1" customHeight="1" x14ac:dyDescent="0.25">
      <c r="B36" s="154" t="s">
        <v>124</v>
      </c>
      <c r="C36" s="493" t="s">
        <v>336</v>
      </c>
      <c r="D36" s="493"/>
      <c r="E36" s="154" t="s">
        <v>152</v>
      </c>
      <c r="F36" s="154" t="s">
        <v>370</v>
      </c>
    </row>
    <row r="37" spans="2:6" ht="27.95" customHeight="1" x14ac:dyDescent="0.25">
      <c r="B37" s="194" t="s">
        <v>371</v>
      </c>
      <c r="C37" s="528" t="str">
        <f>TEXT('3. אופק שרידות'!$C$8,"#,##0")&amp;" ₪  ±  התאמות"</f>
        <v>0 ₪  ±  התאמות</v>
      </c>
      <c r="D37" s="529"/>
      <c r="E37" s="195">
        <f>'3. אופק שרידות'!$C$24</f>
        <v>0</v>
      </c>
      <c r="F37" s="332" t="s">
        <v>372</v>
      </c>
    </row>
    <row r="38" spans="2:6" ht="27.95" customHeight="1" x14ac:dyDescent="0.25">
      <c r="B38" s="194" t="s">
        <v>373</v>
      </c>
      <c r="C38" s="528" t="str">
        <f>TEXT('3. אופק שרידות'!$C$24,"#,##0")&amp;" ₪  ÷  3"</f>
        <v>0 ₪  ÷  3</v>
      </c>
      <c r="D38" s="529"/>
      <c r="E38" s="195">
        <f>'3. אופק שרידות'!$C$25</f>
        <v>0</v>
      </c>
      <c r="F38" s="332" t="s">
        <v>374</v>
      </c>
    </row>
    <row r="39" spans="2:6" ht="27.95" customHeight="1" x14ac:dyDescent="0.25">
      <c r="B39" s="194" t="s">
        <v>375</v>
      </c>
      <c r="C39" s="528" t="str">
        <f>TEXT('3. אופק שרידות'!$C$47,"#,##0")&amp;" ₪ + "&amp;TEXT('3. אופק שרידות'!$C$43,"#,##0")&amp;" ₪ − "&amp;TEXT('3. אופק שרידות'!$C$44,"#,##0")&amp;" ₪"</f>
        <v>0 ₪ + 0 ₪ − 0 ₪</v>
      </c>
      <c r="D39" s="529"/>
      <c r="E39" s="195">
        <f>'3. אופק שרידות'!$C$48</f>
        <v>0</v>
      </c>
      <c r="F39" s="332" t="s">
        <v>376</v>
      </c>
    </row>
    <row r="40" spans="2:6" ht="27.95" customHeight="1" x14ac:dyDescent="0.25">
      <c r="B40" s="194" t="s">
        <v>377</v>
      </c>
      <c r="C40" s="528" t="str">
        <f>TEXT('3. אופק שרידות'!$C$48,"#,##0")&amp;" ₪  ÷  "&amp;TEXT('3. אופק שרידות'!$C$25,"#,##0")&amp;" ₪"</f>
        <v>0 ₪  ÷  0 ₪</v>
      </c>
      <c r="D40" s="529"/>
      <c r="E40" s="196">
        <f>'3. אופק שרידות'!$C$49</f>
        <v>0</v>
      </c>
      <c r="F40" s="332" t="s">
        <v>378</v>
      </c>
    </row>
    <row r="41" spans="2:6" ht="27.95" customHeight="1" x14ac:dyDescent="0.25">
      <c r="B41" s="194" t="s">
        <v>379</v>
      </c>
      <c r="C41" s="528" t="str">
        <f>TEXT('3. אופק שרידות'!$C$49,"0.0")&amp;"  +  "&amp;TEXT('1. מדריך והנחיות'!$D$18,"0")</f>
        <v>0.0  +  6</v>
      </c>
      <c r="D41" s="529"/>
      <c r="E41" s="197">
        <f>'5. קצב הוצאות צפוי'!$K$6</f>
        <v>6</v>
      </c>
      <c r="F41" s="332" t="s">
        <v>380</v>
      </c>
    </row>
    <row r="42" spans="2:6" ht="27.95" customHeight="1" x14ac:dyDescent="0.25">
      <c r="B42" s="194" t="s">
        <v>381</v>
      </c>
      <c r="C42" s="528" t="str">
        <f>TEXT('5. קצב הוצאות צפוי'!$C$37,"#,##0")&amp;" ₪  ÷  "&amp;TEXT('5. קצב הוצאות צפוי'!$K$6,"0.00")</f>
        <v>0 ₪  ÷  6.00</v>
      </c>
      <c r="D42" s="529"/>
      <c r="E42" s="195">
        <f>$C$8</f>
        <v>0</v>
      </c>
      <c r="F42" s="332" t="s">
        <v>382</v>
      </c>
    </row>
    <row r="43" spans="2:6" ht="27.95" customHeight="1" x14ac:dyDescent="0.25">
      <c r="B43" s="194" t="s">
        <v>383</v>
      </c>
      <c r="C43" s="528" t="str">
        <f>TEXT($C$8,"#,##0")&amp;" ₪  ×  "&amp;TEXT('1. מדריך והנחיות'!$D$18,"0")</f>
        <v>0 ₪  ×  6</v>
      </c>
      <c r="D43" s="529"/>
      <c r="E43" s="195">
        <f>$C$9</f>
        <v>0</v>
      </c>
      <c r="F43" s="332" t="s">
        <v>384</v>
      </c>
    </row>
    <row r="44" spans="2:6" ht="27.95" customHeight="1" x14ac:dyDescent="0.25">
      <c r="B44" s="194" t="s">
        <v>385</v>
      </c>
      <c r="C44" s="528" t="str">
        <f>TEXT($C$8,"#,##0")&amp;" ₪  ×  "&amp;$C$26</f>
        <v xml:space="preserve">0 ₪  ×  </v>
      </c>
      <c r="D44" s="529"/>
      <c r="E44" s="195">
        <f>IF($C$26=2,$C$10,$D$10)</f>
        <v>0</v>
      </c>
      <c r="F44" s="332" t="s">
        <v>386</v>
      </c>
    </row>
    <row r="45" spans="2:6" ht="27.95" customHeight="1" x14ac:dyDescent="0.25">
      <c r="B45" s="194" t="s">
        <v>387</v>
      </c>
      <c r="C45" s="528" t="str">
        <f>TEXT('5. קצב הוצאות צפוי'!$C$19,"#,##0")&amp;" ₪  +  "&amp;TEXT(IF($C$26=2,$C$10,$D$10),"#,##0")&amp;" ₪"</f>
        <v>0 ₪  +  0 ₪</v>
      </c>
      <c r="D45" s="529"/>
      <c r="E45" s="195">
        <f>IF($C$26=2,$C$11,$D$11)</f>
        <v>0</v>
      </c>
      <c r="F45" s="332" t="s">
        <v>388</v>
      </c>
    </row>
    <row r="46" spans="2:6" ht="27.95" customHeight="1" x14ac:dyDescent="0.25">
      <c r="B46" s="194" t="s">
        <v>389</v>
      </c>
      <c r="C46" s="528" t="str">
        <f>TEXT('4. תנאי סף'!$D$30,"0.0%")&amp;"  ×  "&amp;TEXT(IF($C$26=2,$C$11,$D$11),"#,##0")&amp;" ₪"</f>
        <v>0.0%  ×  0 ₪</v>
      </c>
      <c r="D46" s="529"/>
      <c r="E46" s="195">
        <f>IF($C$26=2,$C$12,$D$12)</f>
        <v>0</v>
      </c>
      <c r="F46" s="332" t="s">
        <v>390</v>
      </c>
    </row>
    <row r="47" spans="2:6" ht="27.95" customHeight="1" x14ac:dyDescent="0.25">
      <c r="B47" s="194" t="s">
        <v>391</v>
      </c>
      <c r="C47" s="528" t="str">
        <f>"min("&amp;TEXT(IF($C$26=2,$C$12,$D$12),"#,##0")&amp;" ₪, "&amp;TEXT('5. קצב הוצאות צפוי'!$D$37,"#,##0")&amp;" ₪)"</f>
        <v>min(0 ₪, 0 ₪)</v>
      </c>
      <c r="D47" s="529"/>
      <c r="E47" s="195">
        <f>IF($C$26=2,$C$13,$D$13)</f>
        <v>0</v>
      </c>
      <c r="F47" s="332" t="s">
        <v>392</v>
      </c>
    </row>
    <row r="48" spans="2:6" ht="27.95" customHeight="1" x14ac:dyDescent="0.25">
      <c r="B48" s="194" t="s">
        <v>393</v>
      </c>
      <c r="C48" s="528" t="str">
        <f>"min("&amp;TEXT(IF($C$26=2,$C$10,$D$10),"#,##0")&amp;" ₪, "&amp;TEXT(IF($C$26=2,$C$13,$D$13),"#,##0")&amp;" ₪)"</f>
        <v>min(0 ₪, 0 ₪)</v>
      </c>
      <c r="D48" s="529"/>
      <c r="E48" s="195">
        <f>IF($C$26=2,$C$14,$D$14)</f>
        <v>0</v>
      </c>
      <c r="F48" s="332" t="s">
        <v>394</v>
      </c>
    </row>
    <row r="49" spans="2:6" ht="27.95" customHeight="1" x14ac:dyDescent="0.25">
      <c r="B49" s="194" t="s">
        <v>395</v>
      </c>
      <c r="C49" s="528" t="str">
        <f>TEXT(IF($C$26=2,$C$15,$D$15),"#,##0")&amp;" ₪"</f>
        <v>2,000,000 ₪</v>
      </c>
      <c r="D49" s="529"/>
      <c r="E49" s="195">
        <f>IF($C$26=2,$C$15,$D$15)</f>
        <v>2000000</v>
      </c>
      <c r="F49" s="332" t="s">
        <v>396</v>
      </c>
    </row>
    <row r="50" spans="2:6" ht="27.95" customHeight="1" x14ac:dyDescent="0.25">
      <c r="B50" s="198" t="s">
        <v>397</v>
      </c>
      <c r="C50" s="530" t="str">
        <f>" מינימום("&amp;TEXT(IF($C$26=2,$C$14,$D$14),"#,##0")&amp;" ₪, "&amp;TEXT(IF($C$26=2,$C$15,$D$15),"#,##0")&amp;" ₪)"</f>
        <v xml:space="preserve"> מינימום(0 ₪, 2,000,000 ₪)</v>
      </c>
      <c r="D50" s="531"/>
      <c r="E50" s="199">
        <f>IF($C$26=2,$C$16,$D$16)</f>
        <v>0</v>
      </c>
      <c r="F50" s="333" t="s">
        <v>398</v>
      </c>
    </row>
    <row r="51" spans="2:6" ht="27.95" customHeight="1" x14ac:dyDescent="0.25">
      <c r="B51" s="194" t="s">
        <v>399</v>
      </c>
      <c r="C51" s="528" t="str">
        <f>TEXT(IF($C$26=2,$C$16,$D$16),"#,##0")&amp;" ₪  ÷  "&amp;TEXT(IF($C$26=2,$C$13,$D$13),"#,##0")&amp;" ₪"</f>
        <v>0 ₪  ÷  0 ₪</v>
      </c>
      <c r="D51" s="529"/>
      <c r="E51" s="200">
        <f>IF($C$26=2,$C$17,$D$17)</f>
        <v>0</v>
      </c>
      <c r="F51" s="332" t="s">
        <v>400</v>
      </c>
    </row>
    <row r="52" spans="2:6" ht="27.95" customHeight="1" x14ac:dyDescent="0.25">
      <c r="B52" s="194" t="s">
        <v>401</v>
      </c>
      <c r="C52" s="528" t="str">
        <f>TEXT(IF($C$26=2,$C$13,$D$13),"#,##0")&amp;" ₪  −  "&amp;TEXT(IF($C$26=2,$C$16,$D$16),"#,##0")&amp;" ₪"</f>
        <v>0 ₪  −  0 ₪</v>
      </c>
      <c r="D52" s="529"/>
      <c r="E52" s="195">
        <f>IF($C$26=2,$C$18,$D$18)</f>
        <v>0</v>
      </c>
      <c r="F52" s="332" t="s">
        <v>402</v>
      </c>
    </row>
    <row r="53" spans="2:6" ht="27.95" customHeight="1" x14ac:dyDescent="0.25">
      <c r="B53" s="201" t="s">
        <v>403</v>
      </c>
      <c r="C53" s="523" t="str">
        <f>TEXT('5. קצב הוצאות צפוי'!$C$20,"#,##0")&amp;" ₪ + "&amp;TEXT(IF($C$26=2,$C$16,$D$16),"#,##0")&amp;" ₪ − "&amp;TEXT('5. קצב הוצאות צפוי'!$C$37,"#,##0")&amp;" ₪"</f>
        <v>0 ₪ + 0 ₪ − 0 ₪</v>
      </c>
      <c r="D53" s="524"/>
      <c r="E53" s="202">
        <f>IF($C$26=2,$C$19,$D$19)</f>
        <v>0</v>
      </c>
      <c r="F53" s="334" t="s">
        <v>404</v>
      </c>
    </row>
    <row r="54" spans="2:6" ht="8.1" customHeight="1" x14ac:dyDescent="0.25"/>
    <row r="55" spans="2:6" s="313" customFormat="1" ht="26.1" customHeight="1" x14ac:dyDescent="0.25">
      <c r="B55" s="525" t="str">
        <f>"⚠️  מקורות שאינם בבסיס התקציב: "&amp;TEXT(N('5. קצב הוצאות צפוי'!$C$14),"#,##0")&amp;" ₪ מענקים ממשלתיים קיימים/מאושרים מוצגים בתזרים בלבד ואינם נכללים בבסיס חישוב תקציב המו״פ."</f>
        <v>⚠️  מקורות שאינם בבסיס התקציב: 0 ₪ מענקים ממשלתיים קיימים/מאושרים מוצגים בתזרים בלבד ואינם נכללים בבסיס חישוב תקציב המו״פ.</v>
      </c>
      <c r="C55" s="526"/>
      <c r="D55" s="526"/>
      <c r="E55" s="526"/>
      <c r="F55" s="527"/>
    </row>
    <row r="56" spans="2:6" x14ac:dyDescent="0.25"/>
  </sheetData>
  <sheetProtection algorithmName="SHA-512" hashValue="q+7omeUB14LcADBl1PwD8qu0NED9SDpvVYsloiEafqgK1uv+YRnw1kjOsi2sw8alRsAzdSMKycq0ypTEUeQyqg==" saltValue="v9IEyY2B9XopPzc18jOC7Q==" spinCount="100000" sheet="1" objects="1" scenarios="1" formatCells="0" insertHyperlinks="0" selectLockedCells="1"/>
  <mergeCells count="43">
    <mergeCell ref="B1:F1"/>
    <mergeCell ref="B2:F2"/>
    <mergeCell ref="B3:C3"/>
    <mergeCell ref="D3:F3"/>
    <mergeCell ref="B4:C4"/>
    <mergeCell ref="D4:F4"/>
    <mergeCell ref="E7:F7"/>
    <mergeCell ref="E8:F8"/>
    <mergeCell ref="E9:F9"/>
    <mergeCell ref="E10:F10"/>
    <mergeCell ref="E11:F11"/>
    <mergeCell ref="E12:F12"/>
    <mergeCell ref="E13:F13"/>
    <mergeCell ref="E14:F14"/>
    <mergeCell ref="E15:F15"/>
    <mergeCell ref="E16:F16"/>
    <mergeCell ref="E17:F17"/>
    <mergeCell ref="E18:F18"/>
    <mergeCell ref="E19:F19"/>
    <mergeCell ref="B21:F21"/>
    <mergeCell ref="B22:F22"/>
    <mergeCell ref="B23:F23"/>
    <mergeCell ref="B25:D25"/>
    <mergeCell ref="B35:F35"/>
    <mergeCell ref="C36:D36"/>
    <mergeCell ref="C37:D37"/>
    <mergeCell ref="C38:D38"/>
    <mergeCell ref="C39:D39"/>
    <mergeCell ref="C40:D40"/>
    <mergeCell ref="C41:D41"/>
    <mergeCell ref="C42:D42"/>
    <mergeCell ref="C43:D43"/>
    <mergeCell ref="C44:D44"/>
    <mergeCell ref="C45:D45"/>
    <mergeCell ref="C46:D46"/>
    <mergeCell ref="C47:D47"/>
    <mergeCell ref="C53:D53"/>
    <mergeCell ref="B55:F55"/>
    <mergeCell ref="C48:D48"/>
    <mergeCell ref="C49:D49"/>
    <mergeCell ref="C50:D50"/>
    <mergeCell ref="C51:D51"/>
    <mergeCell ref="C52:D52"/>
  </mergeCells>
  <dataValidations disablePrompts="1" count="1">
    <dataValidation type="list" allowBlank="1" showInputMessage="1" showErrorMessage="1" errorTitle="ערך לא תקין" error="ניתן לבחור 2 או 3 חודשי מענק בלבד." sqref="C26" xr:uid="{00000000-0002-0000-0C00-000000000000}">
      <formula1>"2,3"</formula1>
    </dataValidation>
  </dataValidations>
  <hyperlinks>
    <hyperlink ref="H1" location="'1. מדריך והנחיות'!A1" display="⌂  שלב 1 — מדריך והנחיות" xr:uid="{00000000-0004-0000-0C00-000000000000}"/>
    <hyperlink ref="H2" location="'5. קצב הוצאות צפוי'!A1" display="→  הקודם: 5. קצב הוצאות צפוי" xr:uid="{00000000-0004-0000-0C00-000001000000}"/>
  </hyperlinks>
  <pageMargins left="0.7" right="0.7" top="0.75" bottom="0.75" header="0.511811023622047" footer="0.511811023622047"/>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3:B5"/>
  <sheetViews>
    <sheetView rightToLeft="1" workbookViewId="0"/>
  </sheetViews>
  <sheetFormatPr defaultRowHeight="15" x14ac:dyDescent="0.25"/>
  <cols>
    <col min="2" max="2" width="27" customWidth="1"/>
  </cols>
  <sheetData>
    <row r="3" spans="2:2" ht="15.75" thickBot="1" x14ac:dyDescent="0.3"/>
    <row r="4" spans="2:2" x14ac:dyDescent="0.25">
      <c r="B4" s="33" t="s">
        <v>461</v>
      </c>
    </row>
    <row r="5" spans="2:2" ht="15.75" thickBot="1" x14ac:dyDescent="0.3">
      <c r="B5" s="34"/>
    </row>
  </sheetData>
  <sheetProtection algorithmName="SHA-512" hashValue="sK47XzphaI1TtQe3F1s//zDC841iJobkS2YbHCfUzGz/0m6Fatq2Z4nJeD8yvujh1mh5XOUhdRN1CpQA2gVn9g==" saltValue="48mP1C2S/NszjPgUkQyNXg==" spinCount="100000" sheet="1" objects="1" scenarios="1" formatCells="0" insertHyperlinks="0" selectLockedCells="1"/>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C16"/>
  <sheetViews>
    <sheetView rightToLeft="1" workbookViewId="0"/>
  </sheetViews>
  <sheetFormatPr defaultRowHeight="15" x14ac:dyDescent="0.25"/>
  <cols>
    <col min="1" max="1" width="59.28515625" customWidth="1"/>
    <col min="2" max="2" width="2.7109375" customWidth="1"/>
    <col min="3" max="3" width="68.85546875" customWidth="1"/>
  </cols>
  <sheetData>
    <row r="1" spans="1:3" ht="15.75" thickBot="1" x14ac:dyDescent="0.3">
      <c r="A1" s="226" t="s">
        <v>138</v>
      </c>
      <c r="C1" s="226" t="s">
        <v>139</v>
      </c>
    </row>
    <row r="2" spans="1:3" x14ac:dyDescent="0.25">
      <c r="A2" s="224" t="s">
        <v>210</v>
      </c>
      <c r="C2" s="224" t="s">
        <v>210</v>
      </c>
    </row>
    <row r="3" spans="1:3" x14ac:dyDescent="0.25">
      <c r="A3" s="224" t="s">
        <v>211</v>
      </c>
      <c r="C3" s="227" t="s">
        <v>218</v>
      </c>
    </row>
    <row r="4" spans="1:3" x14ac:dyDescent="0.25">
      <c r="A4" s="224" t="s">
        <v>212</v>
      </c>
      <c r="C4" s="224" t="s">
        <v>219</v>
      </c>
    </row>
    <row r="5" spans="1:3" x14ac:dyDescent="0.25">
      <c r="A5" s="224" t="s">
        <v>213</v>
      </c>
      <c r="C5" s="224" t="s">
        <v>220</v>
      </c>
    </row>
    <row r="6" spans="1:3" x14ac:dyDescent="0.25">
      <c r="A6" s="224" t="s">
        <v>214</v>
      </c>
      <c r="C6" s="224" t="s">
        <v>221</v>
      </c>
    </row>
    <row r="7" spans="1:3" x14ac:dyDescent="0.25">
      <c r="A7" s="224" t="s">
        <v>215</v>
      </c>
      <c r="C7" s="224" t="s">
        <v>222</v>
      </c>
    </row>
    <row r="8" spans="1:3" x14ac:dyDescent="0.25">
      <c r="A8" s="224" t="s">
        <v>216</v>
      </c>
      <c r="C8" s="224" t="s">
        <v>223</v>
      </c>
    </row>
    <row r="9" spans="1:3" ht="15.75" thickBot="1" x14ac:dyDescent="0.3">
      <c r="A9" s="225" t="s">
        <v>217</v>
      </c>
      <c r="C9" s="224" t="s">
        <v>224</v>
      </c>
    </row>
    <row r="10" spans="1:3" x14ac:dyDescent="0.25">
      <c r="C10" s="224" t="s">
        <v>225</v>
      </c>
    </row>
    <row r="11" spans="1:3" x14ac:dyDescent="0.25">
      <c r="C11" s="224" t="s">
        <v>226</v>
      </c>
    </row>
    <row r="12" spans="1:3" x14ac:dyDescent="0.25">
      <c r="C12" s="224" t="s">
        <v>227</v>
      </c>
    </row>
    <row r="13" spans="1:3" x14ac:dyDescent="0.25">
      <c r="C13" s="224" t="s">
        <v>228</v>
      </c>
    </row>
    <row r="14" spans="1:3" x14ac:dyDescent="0.25">
      <c r="C14" s="224" t="s">
        <v>229</v>
      </c>
    </row>
    <row r="15" spans="1:3" x14ac:dyDescent="0.25">
      <c r="C15" s="224" t="s">
        <v>230</v>
      </c>
    </row>
    <row r="16" spans="1:3" ht="15.75" thickBot="1" x14ac:dyDescent="0.3">
      <c r="C16" s="225" t="s">
        <v>231</v>
      </c>
    </row>
  </sheetData>
  <sheetProtection algorithmName="SHA-512" hashValue="ZUCycLCcZTtMoTcro9y/d9p3EM3YVD0OYyIu0CVQGESsfRTD/LCeU6fqVxfJA6LSIFT++RzhsHRJCY80nWjKWQ==" saltValue="3bKuJPjPpSS3IzOGiy0YvA==" spinCount="100000" sheet="1" objects="1" scenarios="1" formatCells="0" insertHyperlinks="0" selectLockedCells="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1"/>
  <sheetViews>
    <sheetView showGridLines="0" rightToLeft="1" zoomScaleNormal="100" workbookViewId="0">
      <selection activeCell="E1" sqref="E1"/>
    </sheetView>
  </sheetViews>
  <sheetFormatPr defaultColWidth="0" defaultRowHeight="15" zeroHeight="1" x14ac:dyDescent="0.25"/>
  <cols>
    <col min="1" max="1" width="5" style="42" customWidth="1"/>
    <col min="2" max="2" width="42" style="42" customWidth="1"/>
    <col min="3" max="3" width="52.28515625" style="42" customWidth="1"/>
    <col min="4" max="4" width="1.7109375" style="42" customWidth="1"/>
    <col min="5" max="5" width="80.7109375" style="42" customWidth="1"/>
    <col min="6" max="6" width="1.7109375" style="42" customWidth="1"/>
    <col min="7" max="7" width="1.7109375" style="42" hidden="1" customWidth="1"/>
    <col min="8" max="9" width="0" style="42" hidden="1" customWidth="1"/>
    <col min="10" max="11" width="1.7109375" style="42" hidden="1" customWidth="1"/>
    <col min="12" max="16384" width="8.7109375" style="42" hidden="1"/>
  </cols>
  <sheetData>
    <row r="1" spans="1:5" ht="31.5" customHeight="1" x14ac:dyDescent="0.25">
      <c r="A1" s="366" t="s">
        <v>406</v>
      </c>
      <c r="B1" s="366"/>
      <c r="C1" s="366"/>
      <c r="E1" s="329" t="s">
        <v>502</v>
      </c>
    </row>
    <row r="2" spans="1:5" ht="22.5" customHeight="1" thickBot="1" x14ac:dyDescent="0.3">
      <c r="A2" s="43"/>
      <c r="B2" s="43"/>
      <c r="C2" s="43"/>
    </row>
    <row r="3" spans="1:5" ht="24" customHeight="1" thickBot="1" x14ac:dyDescent="0.3">
      <c r="A3" s="367" t="s">
        <v>477</v>
      </c>
      <c r="B3" s="367"/>
      <c r="C3" s="367"/>
      <c r="E3" s="267" t="s">
        <v>498</v>
      </c>
    </row>
    <row r="4" spans="1:5" ht="14.25" customHeight="1" x14ac:dyDescent="0.25">
      <c r="A4" s="43"/>
      <c r="B4" s="44" t="s">
        <v>26</v>
      </c>
      <c r="C4" s="89"/>
      <c r="E4" s="258"/>
    </row>
    <row r="5" spans="1:5" ht="14.25" customHeight="1" x14ac:dyDescent="0.25">
      <c r="A5" s="43"/>
      <c r="B5" s="44" t="s">
        <v>27</v>
      </c>
      <c r="C5" s="89"/>
      <c r="E5" s="258"/>
    </row>
    <row r="6" spans="1:5" ht="14.25" customHeight="1" x14ac:dyDescent="0.25">
      <c r="A6" s="43"/>
      <c r="B6" s="44" t="s">
        <v>28</v>
      </c>
      <c r="C6" s="260"/>
      <c r="E6" s="258"/>
    </row>
    <row r="7" spans="1:5" ht="14.25" customHeight="1" x14ac:dyDescent="0.25">
      <c r="A7" s="43"/>
      <c r="B7" s="43"/>
      <c r="C7" s="45"/>
    </row>
    <row r="8" spans="1:5" ht="24" customHeight="1" x14ac:dyDescent="0.25">
      <c r="A8" s="365" t="s">
        <v>29</v>
      </c>
      <c r="B8" s="365"/>
      <c r="C8" s="365"/>
    </row>
    <row r="9" spans="1:5" ht="14.25" customHeight="1" x14ac:dyDescent="0.25">
      <c r="A9" s="43"/>
      <c r="B9" s="46" t="s">
        <v>30</v>
      </c>
      <c r="C9" s="261" t="str">
        <f>IFERROR(EOMONTH('2.1 פרטי בקשה'!C6,-1),"")</f>
        <v/>
      </c>
    </row>
    <row r="10" spans="1:5" ht="14.25" customHeight="1" x14ac:dyDescent="0.25">
      <c r="A10" s="43"/>
      <c r="B10" s="46" t="s">
        <v>31</v>
      </c>
      <c r="C10" s="261" t="str">
        <f>IFERROR(EOMONTH('2.1 פרטי בקשה'!C9,-12)+1,"")</f>
        <v/>
      </c>
    </row>
    <row r="11" spans="1:5" ht="14.25" customHeight="1" x14ac:dyDescent="0.25">
      <c r="A11" s="43"/>
      <c r="B11" s="46" t="s">
        <v>32</v>
      </c>
      <c r="C11" s="261" t="str">
        <f>IFERROR(EOMONTH('2.1 פרטי בקשה'!C9,-3)+1,"")</f>
        <v/>
      </c>
    </row>
  </sheetData>
  <sheetProtection algorithmName="SHA-512" hashValue="54pV+ML4dABGhvtTyd5Z8U6DbZt6CSag059pYaseYSpsvWZ9rStEgWGMQAe88m6REphvEp/8g9je/bCeQPrQBQ==" saltValue="/taGU1zfmpaJTkwVTTKz/A==" spinCount="100000" sheet="1" objects="1" scenarios="1" formatCells="0" insertHyperlinks="0" selectLockedCells="1"/>
  <mergeCells count="3">
    <mergeCell ref="A8:C8"/>
    <mergeCell ref="A1:C1"/>
    <mergeCell ref="A3:C3"/>
  </mergeCells>
  <hyperlinks>
    <hyperlink ref="E1" location="'2.2 מבנה החזקות'!A1" display="⌂  שלב 1 — מדריך והנחיות" xr:uid="{00000000-0004-0000-0100-000000000000}"/>
    <hyperlink ref="A3:C3" location="'2.2 מבנה החזקות'!A1" display="הבא - 2.2 מבנה ההחזקות" xr:uid="{00000000-0004-0000-0100-000001000000}"/>
  </hyperlinks>
  <pageMargins left="0.7" right="0.7" top="0.75" bottom="0.75"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70"/>
  <sheetViews>
    <sheetView showGridLines="0" rightToLeft="1" zoomScaleNormal="100" workbookViewId="0">
      <selection activeCell="O1" sqref="O1"/>
    </sheetView>
  </sheetViews>
  <sheetFormatPr defaultColWidth="0" defaultRowHeight="15" zeroHeight="1" x14ac:dyDescent="0.25"/>
  <cols>
    <col min="1" max="1" width="6.140625" style="42" customWidth="1"/>
    <col min="2" max="10" width="18.140625" style="42" customWidth="1"/>
    <col min="11" max="11" width="18.140625" style="204" customWidth="1"/>
    <col min="12" max="12" width="18.140625" style="42" customWidth="1"/>
    <col min="13" max="13" width="22.28515625" style="42" customWidth="1"/>
    <col min="14" max="14" width="1.7109375" style="42" customWidth="1"/>
    <col min="15" max="15" width="100.7109375" style="42" customWidth="1"/>
    <col min="16" max="16" width="1.7109375" style="42" customWidth="1"/>
    <col min="17" max="18" width="1.7109375" style="42" hidden="1" customWidth="1"/>
    <col min="19" max="16384" width="9.140625" style="42" hidden="1"/>
  </cols>
  <sheetData>
    <row r="1" spans="1:15" ht="31.5" customHeight="1" x14ac:dyDescent="0.25">
      <c r="A1" s="389" t="s">
        <v>407</v>
      </c>
      <c r="B1" s="389"/>
      <c r="C1" s="389"/>
      <c r="D1" s="389"/>
      <c r="E1" s="389"/>
      <c r="F1" s="389"/>
      <c r="G1" s="389"/>
      <c r="H1" s="389"/>
      <c r="I1" s="389"/>
      <c r="J1" s="389"/>
      <c r="K1" s="389"/>
      <c r="L1" s="389"/>
      <c r="M1" s="389"/>
      <c r="O1" s="330" t="s">
        <v>413</v>
      </c>
    </row>
    <row r="2" spans="1:15" ht="21.75" customHeight="1" x14ac:dyDescent="0.25">
      <c r="A2" s="390" t="s">
        <v>255</v>
      </c>
      <c r="B2" s="390"/>
      <c r="C2" s="390"/>
      <c r="D2" s="390"/>
      <c r="E2" s="390"/>
      <c r="F2" s="390"/>
      <c r="G2" s="390"/>
      <c r="H2" s="390"/>
      <c r="I2" s="390"/>
      <c r="J2" s="390"/>
      <c r="K2" s="390"/>
      <c r="L2" s="390"/>
      <c r="M2" s="390"/>
      <c r="O2" s="331" t="s">
        <v>414</v>
      </c>
    </row>
    <row r="3" spans="1:15" ht="15.75" customHeight="1" x14ac:dyDescent="0.25">
      <c r="O3" s="388" t="s">
        <v>415</v>
      </c>
    </row>
    <row r="4" spans="1:15" ht="21.95" customHeight="1" x14ac:dyDescent="0.25">
      <c r="A4" s="374" t="s">
        <v>256</v>
      </c>
      <c r="B4" s="374"/>
      <c r="C4" s="374"/>
      <c r="D4" s="374"/>
      <c r="E4" s="374"/>
      <c r="F4" s="374"/>
      <c r="G4" s="374"/>
      <c r="H4" s="374"/>
      <c r="I4" s="374"/>
      <c r="J4" s="374"/>
      <c r="K4" s="374"/>
      <c r="L4" s="374"/>
      <c r="M4" s="374"/>
      <c r="O4" s="388"/>
    </row>
    <row r="5" spans="1:15" ht="26.1" customHeight="1" x14ac:dyDescent="0.25">
      <c r="B5" s="391" t="s">
        <v>257</v>
      </c>
      <c r="C5" s="391"/>
      <c r="D5" s="391"/>
      <c r="E5" s="391"/>
      <c r="F5" s="66"/>
      <c r="G5" s="392"/>
      <c r="H5" s="392"/>
      <c r="I5" s="392"/>
      <c r="J5" s="392"/>
      <c r="K5" s="392"/>
      <c r="L5" s="392"/>
      <c r="M5" s="392"/>
    </row>
    <row r="6" spans="1:15" ht="21.95" customHeight="1" x14ac:dyDescent="0.25">
      <c r="B6" s="47" t="str">
        <f>IF($F$5="לא","🔒 לא דווחו ישויות קשורות — סעיף הישויות והתרשים סגורים ואינם מוצגים. לפתיחה מחדש יש לשנות את התשובה ל'כן'.",IF(AND($F$5="כן",COUNTA($B$13:$B$24)=0),"טרם הוזנו ישויות — מלאו את הטבלה שלהלן והתרשים ייווצר אוטומטית.",""))</f>
        <v/>
      </c>
      <c r="C6" s="47"/>
      <c r="D6" s="47"/>
      <c r="E6" s="47"/>
      <c r="F6" s="47"/>
      <c r="G6" s="47"/>
      <c r="H6" s="47"/>
      <c r="I6" s="47"/>
      <c r="J6" s="47"/>
      <c r="K6" s="232"/>
      <c r="L6" s="47"/>
      <c r="M6" s="47"/>
    </row>
    <row r="7" spans="1:15" ht="21.95" customHeight="1" x14ac:dyDescent="0.25">
      <c r="A7" s="48" t="s">
        <v>235</v>
      </c>
      <c r="B7" s="48"/>
      <c r="C7" s="48"/>
      <c r="D7" s="48"/>
      <c r="E7" s="48"/>
      <c r="F7" s="48"/>
      <c r="G7" s="48"/>
      <c r="H7" s="48"/>
      <c r="I7" s="48"/>
      <c r="J7" s="48"/>
      <c r="K7" s="233"/>
      <c r="L7" s="48"/>
      <c r="M7" s="48"/>
    </row>
    <row r="8" spans="1:15" x14ac:dyDescent="0.25">
      <c r="B8" s="393" t="s">
        <v>236</v>
      </c>
      <c r="C8" s="393"/>
      <c r="D8" s="49" t="s">
        <v>237</v>
      </c>
      <c r="E8" s="49" t="s">
        <v>123</v>
      </c>
      <c r="F8" s="393" t="s">
        <v>238</v>
      </c>
      <c r="G8" s="393"/>
    </row>
    <row r="9" spans="1:15" x14ac:dyDescent="0.25">
      <c r="B9" s="394">
        <f>'2.1 פרטי בקשה'!C4</f>
        <v>0</v>
      </c>
      <c r="C9" s="394"/>
      <c r="D9" s="50">
        <f>'2.1 פרטי בקשה'!C5</f>
        <v>0</v>
      </c>
      <c r="E9" s="62"/>
      <c r="F9" s="395"/>
      <c r="G9" s="395"/>
    </row>
    <row r="10" spans="1:15" x14ac:dyDescent="0.25"/>
    <row r="11" spans="1:15" ht="21.95" customHeight="1" thickBot="1" x14ac:dyDescent="0.3">
      <c r="A11" s="374" t="str">
        <f>"ישויות בקבוצה (עד 12 ישויות, עד שתי רמות)"&amp;IF($F$5="לא","  —  לא רלוונטי: לא דווחו ישויות קשורות","")</f>
        <v>ישויות בקבוצה (עד 12 ישויות, עד שתי רמות)</v>
      </c>
      <c r="B11" s="374"/>
      <c r="C11" s="374"/>
      <c r="D11" s="374"/>
      <c r="E11" s="374"/>
      <c r="F11" s="374"/>
      <c r="G11" s="374"/>
      <c r="H11" s="374"/>
      <c r="I11" s="374"/>
      <c r="J11" s="374"/>
      <c r="K11" s="374"/>
      <c r="L11" s="374"/>
      <c r="M11" s="374"/>
    </row>
    <row r="12" spans="1:15" ht="33.950000000000003" customHeight="1" thickBot="1" x14ac:dyDescent="0.3">
      <c r="A12" s="49" t="s">
        <v>137</v>
      </c>
      <c r="B12" s="51" t="s">
        <v>236</v>
      </c>
      <c r="C12" s="52"/>
      <c r="D12" s="53" t="s">
        <v>237</v>
      </c>
      <c r="E12" s="49" t="s">
        <v>123</v>
      </c>
      <c r="F12" s="49" t="s">
        <v>122</v>
      </c>
      <c r="G12" s="49" t="s">
        <v>239</v>
      </c>
      <c r="H12" s="49" t="s">
        <v>240</v>
      </c>
      <c r="I12" s="386" t="s">
        <v>238</v>
      </c>
      <c r="J12" s="387"/>
      <c r="K12" s="53" t="s">
        <v>496</v>
      </c>
      <c r="L12" s="49" t="s">
        <v>241</v>
      </c>
      <c r="M12" s="49" t="s">
        <v>242</v>
      </c>
      <c r="O12" s="267" t="s">
        <v>498</v>
      </c>
    </row>
    <row r="13" spans="1:15" ht="30" customHeight="1" x14ac:dyDescent="0.25">
      <c r="A13" s="96">
        <v>1</v>
      </c>
      <c r="B13" s="59"/>
      <c r="C13" s="60"/>
      <c r="D13" s="61"/>
      <c r="E13" s="62"/>
      <c r="F13" s="62"/>
      <c r="G13" s="62"/>
      <c r="H13" s="63"/>
      <c r="I13" s="368"/>
      <c r="J13" s="369"/>
      <c r="K13" s="64"/>
      <c r="L13" s="62"/>
      <c r="M13" s="65"/>
      <c r="O13" s="258"/>
    </row>
    <row r="14" spans="1:15" ht="30" customHeight="1" x14ac:dyDescent="0.25">
      <c r="A14" s="96">
        <v>2</v>
      </c>
      <c r="B14" s="59"/>
      <c r="C14" s="60"/>
      <c r="D14" s="61"/>
      <c r="E14" s="62"/>
      <c r="F14" s="62"/>
      <c r="G14" s="62"/>
      <c r="H14" s="63"/>
      <c r="I14" s="368"/>
      <c r="J14" s="369"/>
      <c r="K14" s="64"/>
      <c r="L14" s="62"/>
      <c r="M14" s="65"/>
      <c r="O14" s="258"/>
    </row>
    <row r="15" spans="1:15" ht="30" customHeight="1" x14ac:dyDescent="0.25">
      <c r="A15" s="96">
        <v>3</v>
      </c>
      <c r="B15" s="59"/>
      <c r="C15" s="60"/>
      <c r="D15" s="61"/>
      <c r="E15" s="62"/>
      <c r="F15" s="62"/>
      <c r="G15" s="62"/>
      <c r="H15" s="63"/>
      <c r="I15" s="368"/>
      <c r="J15" s="369"/>
      <c r="K15" s="64"/>
      <c r="L15" s="62"/>
      <c r="M15" s="65"/>
      <c r="O15" s="258"/>
    </row>
    <row r="16" spans="1:15" ht="30" customHeight="1" x14ac:dyDescent="0.25">
      <c r="A16" s="96">
        <v>4</v>
      </c>
      <c r="B16" s="59"/>
      <c r="C16" s="60"/>
      <c r="D16" s="61"/>
      <c r="E16" s="62"/>
      <c r="F16" s="62"/>
      <c r="G16" s="62"/>
      <c r="H16" s="63"/>
      <c r="I16" s="368"/>
      <c r="J16" s="369"/>
      <c r="K16" s="64"/>
      <c r="L16" s="62"/>
      <c r="M16" s="65"/>
      <c r="O16" s="258"/>
    </row>
    <row r="17" spans="1:15" ht="30" customHeight="1" x14ac:dyDescent="0.25">
      <c r="A17" s="96">
        <v>5</v>
      </c>
      <c r="B17" s="59"/>
      <c r="C17" s="60"/>
      <c r="D17" s="61"/>
      <c r="E17" s="62"/>
      <c r="F17" s="62"/>
      <c r="G17" s="62"/>
      <c r="H17" s="63"/>
      <c r="I17" s="368"/>
      <c r="J17" s="369"/>
      <c r="K17" s="64"/>
      <c r="L17" s="62"/>
      <c r="M17" s="65"/>
      <c r="O17" s="258"/>
    </row>
    <row r="18" spans="1:15" ht="30" customHeight="1" x14ac:dyDescent="0.25">
      <c r="A18" s="96">
        <v>6</v>
      </c>
      <c r="B18" s="59"/>
      <c r="C18" s="60"/>
      <c r="D18" s="61"/>
      <c r="E18" s="62"/>
      <c r="F18" s="62"/>
      <c r="G18" s="62"/>
      <c r="H18" s="63"/>
      <c r="I18" s="368"/>
      <c r="J18" s="369"/>
      <c r="K18" s="64"/>
      <c r="L18" s="62"/>
      <c r="M18" s="65"/>
      <c r="O18" s="258"/>
    </row>
    <row r="19" spans="1:15" ht="30" customHeight="1" x14ac:dyDescent="0.25">
      <c r="A19" s="96">
        <v>7</v>
      </c>
      <c r="B19" s="59"/>
      <c r="C19" s="60"/>
      <c r="D19" s="61"/>
      <c r="E19" s="62"/>
      <c r="F19" s="62"/>
      <c r="G19" s="62"/>
      <c r="H19" s="63"/>
      <c r="I19" s="368"/>
      <c r="J19" s="369"/>
      <c r="K19" s="64"/>
      <c r="L19" s="62"/>
      <c r="M19" s="65"/>
      <c r="O19" s="258"/>
    </row>
    <row r="20" spans="1:15" ht="30" customHeight="1" x14ac:dyDescent="0.25">
      <c r="A20" s="96">
        <v>8</v>
      </c>
      <c r="B20" s="59"/>
      <c r="C20" s="60"/>
      <c r="D20" s="61"/>
      <c r="E20" s="62"/>
      <c r="F20" s="62"/>
      <c r="G20" s="62"/>
      <c r="H20" s="63"/>
      <c r="I20" s="368"/>
      <c r="J20" s="369"/>
      <c r="K20" s="64"/>
      <c r="L20" s="62"/>
      <c r="M20" s="65"/>
      <c r="O20" s="258"/>
    </row>
    <row r="21" spans="1:15" ht="30" customHeight="1" x14ac:dyDescent="0.25">
      <c r="A21" s="96">
        <v>9</v>
      </c>
      <c r="B21" s="59"/>
      <c r="C21" s="60"/>
      <c r="D21" s="61"/>
      <c r="E21" s="62"/>
      <c r="F21" s="62"/>
      <c r="G21" s="62"/>
      <c r="H21" s="63"/>
      <c r="I21" s="368"/>
      <c r="J21" s="369"/>
      <c r="K21" s="64"/>
      <c r="L21" s="62"/>
      <c r="M21" s="65"/>
      <c r="O21" s="258"/>
    </row>
    <row r="22" spans="1:15" ht="30" customHeight="1" x14ac:dyDescent="0.25">
      <c r="A22" s="96">
        <v>10</v>
      </c>
      <c r="B22" s="59"/>
      <c r="C22" s="60"/>
      <c r="D22" s="61"/>
      <c r="E22" s="62"/>
      <c r="F22" s="62"/>
      <c r="G22" s="62"/>
      <c r="H22" s="63"/>
      <c r="I22" s="368"/>
      <c r="J22" s="369"/>
      <c r="K22" s="64"/>
      <c r="L22" s="62"/>
      <c r="M22" s="65"/>
      <c r="O22" s="258"/>
    </row>
    <row r="23" spans="1:15" ht="30" customHeight="1" x14ac:dyDescent="0.25">
      <c r="A23" s="96">
        <v>11</v>
      </c>
      <c r="B23" s="59"/>
      <c r="C23" s="60"/>
      <c r="D23" s="61"/>
      <c r="E23" s="62"/>
      <c r="F23" s="62"/>
      <c r="G23" s="62"/>
      <c r="H23" s="63"/>
      <c r="I23" s="368"/>
      <c r="J23" s="369"/>
      <c r="K23" s="64"/>
      <c r="L23" s="62"/>
      <c r="M23" s="65"/>
      <c r="O23" s="258"/>
    </row>
    <row r="24" spans="1:15" ht="30" customHeight="1" x14ac:dyDescent="0.25">
      <c r="A24" s="96">
        <v>12</v>
      </c>
      <c r="B24" s="59"/>
      <c r="C24" s="60"/>
      <c r="D24" s="61"/>
      <c r="E24" s="62"/>
      <c r="F24" s="62"/>
      <c r="G24" s="62"/>
      <c r="H24" s="63"/>
      <c r="I24" s="368"/>
      <c r="J24" s="369"/>
      <c r="K24" s="64"/>
      <c r="L24" s="62"/>
      <c r="M24" s="65"/>
      <c r="O24" s="258"/>
    </row>
    <row r="25" spans="1:15" x14ac:dyDescent="0.25"/>
    <row r="26" spans="1:15" ht="21.95" hidden="1" customHeight="1" x14ac:dyDescent="0.25">
      <c r="A26" s="374" t="str">
        <f>IF($F$5&lt;&gt;"כן","","בקרת מבנה ההחזקות")</f>
        <v/>
      </c>
      <c r="B26" s="374"/>
      <c r="C26" s="374"/>
      <c r="D26" s="374"/>
      <c r="E26" s="374"/>
      <c r="F26" s="374"/>
      <c r="G26" s="374"/>
      <c r="H26" s="374"/>
      <c r="I26" s="374"/>
      <c r="J26" s="374"/>
      <c r="K26" s="374"/>
      <c r="L26" s="374"/>
      <c r="M26" s="374"/>
    </row>
    <row r="27" spans="1:15" hidden="1" x14ac:dyDescent="0.25">
      <c r="B27" s="375" t="str">
        <f>IF($F$5&lt;&gt;"כן","","מספר ישויות מדווחות")</f>
        <v/>
      </c>
      <c r="C27" s="375"/>
      <c r="D27" s="375"/>
      <c r="E27" s="54" t="str">
        <f>IF($F$5&lt;&gt;"כן","",COUNTA($B$13:$B$24))</f>
        <v/>
      </c>
      <c r="F27" s="55"/>
      <c r="G27" s="55"/>
      <c r="H27" s="55"/>
      <c r="I27" s="55"/>
      <c r="J27" s="55"/>
      <c r="K27" s="234"/>
      <c r="L27" s="55"/>
      <c r="M27" s="55"/>
    </row>
    <row r="28" spans="1:15" hidden="1" x14ac:dyDescent="0.25">
      <c r="B28" s="375" t="str">
        <f>IF($F$5&lt;&gt;"כן","","סטטוס המבנה")</f>
        <v/>
      </c>
      <c r="C28" s="375"/>
      <c r="D28" s="375"/>
      <c r="E28" s="54" t="str">
        <f>IF($F$5&lt;&gt;"כן","",IF($E$27=0,"טרם הוזנו ישויות ⚠",IF($K$59=0,"המבנה תקין ✓","נדרש תיקון ✗")))</f>
        <v/>
      </c>
      <c r="F28" s="54"/>
      <c r="G28" s="54"/>
      <c r="H28" s="54"/>
      <c r="I28" s="55"/>
      <c r="J28" s="55"/>
      <c r="K28" s="234"/>
      <c r="L28" s="55"/>
      <c r="M28" s="55"/>
    </row>
    <row r="29" spans="1:15" hidden="1" x14ac:dyDescent="0.25">
      <c r="B29" s="375" t="str">
        <f>IF($F$5&lt;&gt;"כן","","פירוט ליקויים")</f>
        <v/>
      </c>
      <c r="C29" s="375"/>
      <c r="D29" s="375"/>
      <c r="E29" s="323" t="str">
        <f>IF($F$5&lt;&gt;"כן","",IF($K$65=0,"—",TRIM(IF($K$54&gt;0,"ישויות ללא סוג קשר: "&amp;$K$54&amp;"; ","")&amp;IF($K$55&gt;0,"שיעור החזקה חסר או לא תקין: "&amp;$K$55&amp;"; ","")&amp;IF($K$56&gt;0,"תאגיד אב שאינו מזוהה: "&amp;$K$56&amp;"; ","")&amp;IF($K$57&gt;0,"יותר מ-6 ישויות באותה רמה; ","")&amp;IF($K$58&gt;0,"סתירה מול 'פרטי בקשה'; ","")&amp;IF($K$59&gt;0,"הוזנו ישויות למרות תשובה 'לא'; ","")&amp;IF($K$60&gt;0,"שגיאה בשורה 60: "&amp;$K$60&amp;"; ","")&amp;IF($K$61&gt;0,"שגיאה בשורה 61: "&amp;$K$61&amp;"; ","")&amp;IF($K$62&gt;0,"שגיאה בשורה 62: "&amp;$K$62&amp;"; ","")&amp;IF($K$63&gt;0,"שגיאה בשורה 63: "&amp;$K$63&amp;"; ","")&amp;IF($K$64&gt;0,"שגיאה בשורה 64: "&amp;$K$64&amp;"; ",""))))</f>
        <v/>
      </c>
      <c r="F29" s="56"/>
      <c r="G29" s="56"/>
      <c r="H29" s="56"/>
      <c r="I29" s="55"/>
      <c r="J29" s="55"/>
      <c r="K29" s="234"/>
      <c r="L29" s="55"/>
      <c r="M29" s="55"/>
    </row>
    <row r="31" spans="1:15" ht="21.95" hidden="1" customHeight="1" x14ac:dyDescent="0.25">
      <c r="A31" s="374" t="s">
        <v>262</v>
      </c>
      <c r="B31" s="374"/>
      <c r="C31" s="374"/>
      <c r="D31" s="374"/>
      <c r="E31" s="374"/>
      <c r="F31" s="374"/>
      <c r="G31" s="374"/>
      <c r="H31" s="374"/>
      <c r="I31" s="374"/>
      <c r="J31" s="374"/>
      <c r="K31" s="374"/>
      <c r="L31" s="374"/>
      <c r="M31" s="374"/>
    </row>
    <row r="32" spans="1:15" ht="18" hidden="1" customHeight="1" thickBot="1" x14ac:dyDescent="0.25">
      <c r="A32" s="57"/>
      <c r="B32" s="57"/>
      <c r="C32" s="57"/>
      <c r="D32" s="57"/>
      <c r="E32" s="57"/>
      <c r="F32" s="57"/>
      <c r="G32" s="57"/>
      <c r="H32" s="57"/>
      <c r="I32" s="57"/>
      <c r="J32" s="57"/>
      <c r="K32" s="235"/>
      <c r="L32" s="57"/>
      <c r="M32" s="57"/>
    </row>
    <row r="33" spans="1:13" ht="17.100000000000001" hidden="1" customHeight="1" x14ac:dyDescent="0.25">
      <c r="A33" s="57"/>
      <c r="B33" s="57"/>
      <c r="C33" s="57"/>
      <c r="D33" s="57"/>
      <c r="E33" s="57"/>
      <c r="F33" s="376" t="str">
        <f>"המבקש"&amp;CHAR(10)&amp;$B$9&amp;CHAR(10)&amp;"ח.פ. "&amp;$D$9</f>
        <v>המבקש
0
ח.פ. 0</v>
      </c>
      <c r="G33" s="377"/>
      <c r="H33" s="377"/>
      <c r="I33" s="378"/>
      <c r="J33" s="57"/>
      <c r="K33" s="235"/>
      <c r="L33" s="57"/>
      <c r="M33" s="57"/>
    </row>
    <row r="34" spans="1:13" ht="17.100000000000001" hidden="1" customHeight="1" x14ac:dyDescent="0.25">
      <c r="A34" s="57"/>
      <c r="B34" s="57"/>
      <c r="C34" s="57"/>
      <c r="D34" s="57"/>
      <c r="E34" s="57"/>
      <c r="F34" s="379"/>
      <c r="G34" s="380"/>
      <c r="H34" s="380"/>
      <c r="I34" s="381"/>
      <c r="J34" s="57"/>
      <c r="K34" s="235"/>
      <c r="L34" s="57"/>
      <c r="M34" s="57"/>
    </row>
    <row r="35" spans="1:13" ht="17.100000000000001" hidden="1" customHeight="1" thickBot="1" x14ac:dyDescent="0.3">
      <c r="A35" s="57"/>
      <c r="B35" s="57"/>
      <c r="C35" s="57"/>
      <c r="D35" s="57"/>
      <c r="E35" s="57"/>
      <c r="F35" s="382"/>
      <c r="G35" s="383"/>
      <c r="H35" s="383"/>
      <c r="I35" s="384"/>
      <c r="J35" s="57"/>
      <c r="K35" s="235"/>
      <c r="L35" s="57"/>
      <c r="M35" s="57"/>
    </row>
    <row r="36" spans="1:13" ht="18" hidden="1" customHeight="1" x14ac:dyDescent="0.25">
      <c r="A36" s="57"/>
      <c r="B36" s="57"/>
      <c r="C36" s="57"/>
      <c r="D36" s="57"/>
      <c r="E36" s="57"/>
      <c r="F36" s="385" t="str">
        <f>IF(AND($F$5="כן",COUNTIF($B$54:$B$64,1)&gt;0),"החזקות המבקש","")</f>
        <v/>
      </c>
      <c r="G36" s="385"/>
      <c r="H36" s="385"/>
      <c r="I36" s="385"/>
      <c r="J36" s="57"/>
      <c r="K36" s="235"/>
      <c r="L36" s="57"/>
      <c r="M36" s="57"/>
    </row>
    <row r="37" spans="1:13" ht="18" hidden="1" customHeight="1" x14ac:dyDescent="0.25">
      <c r="A37" s="57"/>
      <c r="B37" s="370" t="str">
        <f>IF($F$5&lt;&gt;"כן","",IFERROR(INDEX($G$54:$G$64,MATCH("1-5",$D$54:$D$64,0)),""))</f>
        <v/>
      </c>
      <c r="C37" s="370"/>
      <c r="D37" s="370" t="str">
        <f>IF($F$5&lt;&gt;"כן","",IFERROR(INDEX($G$54:$G$64,MATCH("1-3",$D$54:$D$64,0)),""))</f>
        <v/>
      </c>
      <c r="E37" s="370"/>
      <c r="F37" s="370" t="str">
        <f>IF($F$5&lt;&gt;"כן","",IFERROR(INDEX($G$54:$G$64,MATCH("1-1",$D$54:$D$64,0)),""))</f>
        <v/>
      </c>
      <c r="G37" s="370"/>
      <c r="H37" s="370" t="str">
        <f>IF($F$5&lt;&gt;"כן","",IFERROR(INDEX($G$54:$G$64,MATCH("1-2",$D$54:$D$64,0)),""))</f>
        <v/>
      </c>
      <c r="I37" s="370"/>
      <c r="J37" s="370" t="str">
        <f>IF($F$5&lt;&gt;"כן","",IFERROR(INDEX($G$54:$G$64,MATCH("1-4",$D$54:$D$64,0)),""))</f>
        <v/>
      </c>
      <c r="K37" s="370"/>
      <c r="L37" s="370" t="str">
        <f>IF($F$5&lt;&gt;"כן","",IFERROR(INDEX($G$54:$G$64,MATCH("1-6",$D$54:$D$64,0)),""))</f>
        <v/>
      </c>
      <c r="M37" s="370"/>
    </row>
    <row r="38" spans="1:13" ht="18" hidden="1" customHeight="1" x14ac:dyDescent="0.25">
      <c r="A38" s="57"/>
      <c r="B38" s="371" t="str">
        <f>IF(B37="","","↓")</f>
        <v/>
      </c>
      <c r="C38" s="371"/>
      <c r="D38" s="371" t="str">
        <f>IF(D37="","","↓")</f>
        <v/>
      </c>
      <c r="E38" s="371"/>
      <c r="F38" s="371" t="str">
        <f>IF(F37="","","↓")</f>
        <v/>
      </c>
      <c r="G38" s="371"/>
      <c r="H38" s="371" t="str">
        <f>IF(H37="","","↓")</f>
        <v/>
      </c>
      <c r="I38" s="371"/>
      <c r="J38" s="371" t="str">
        <f>IF(J37="","","↓")</f>
        <v/>
      </c>
      <c r="K38" s="371"/>
      <c r="L38" s="371" t="str">
        <f>IF(L37="","","↓")</f>
        <v/>
      </c>
      <c r="M38" s="371"/>
    </row>
    <row r="39" spans="1:13" ht="17.100000000000001" hidden="1" customHeight="1" x14ac:dyDescent="0.25">
      <c r="A39" s="57"/>
      <c r="B39" s="372" t="str">
        <f>IF($F$5&lt;&gt;"כן","",IFERROR(INDEX($E$54:$E$64,MATCH("1-5",$D$54:$D$64,0)),""))</f>
        <v/>
      </c>
      <c r="C39" s="372"/>
      <c r="D39" s="372" t="str">
        <f>IF($F$5&lt;&gt;"כן","",IFERROR(INDEX($E$54:$E$64,MATCH("1-3",$D$54:$D$64,0)),""))</f>
        <v/>
      </c>
      <c r="E39" s="372"/>
      <c r="F39" s="372" t="str">
        <f>IF($F$5&lt;&gt;"כן","",IFERROR(INDEX($E$54:$E$64,MATCH("1-1",$D$54:$D$64,0)),""))</f>
        <v/>
      </c>
      <c r="G39" s="372"/>
      <c r="H39" s="372" t="str">
        <f>IF($F$5&lt;&gt;"כן","",IFERROR(INDEX($E$54:$E$64,MATCH("1-2",$D$54:$D$64,0)),""))</f>
        <v/>
      </c>
      <c r="I39" s="372"/>
      <c r="J39" s="372" t="str">
        <f>IF($F$5&lt;&gt;"כן","",IFERROR(INDEX($E$54:$E$64,MATCH("1-4",$D$54:$D$64,0)),""))</f>
        <v/>
      </c>
      <c r="K39" s="372"/>
      <c r="L39" s="372" t="str">
        <f>IF($F$5&lt;&gt;"כן","",IFERROR(INDEX($E$54:$E$64,MATCH("1-6",$D$54:$D$64,0)),""))</f>
        <v/>
      </c>
      <c r="M39" s="372"/>
    </row>
    <row r="40" spans="1:13" ht="17.100000000000001" hidden="1" customHeight="1" x14ac:dyDescent="0.25">
      <c r="A40" s="57"/>
      <c r="B40" s="372"/>
      <c r="C40" s="372"/>
      <c r="D40" s="372"/>
      <c r="E40" s="372"/>
      <c r="F40" s="372"/>
      <c r="G40" s="372"/>
      <c r="H40" s="372"/>
      <c r="I40" s="372"/>
      <c r="J40" s="372"/>
      <c r="K40" s="372"/>
      <c r="L40" s="372"/>
      <c r="M40" s="372"/>
    </row>
    <row r="41" spans="1:13" ht="17.100000000000001" hidden="1" customHeight="1" x14ac:dyDescent="0.25">
      <c r="A41" s="57"/>
      <c r="B41" s="372"/>
      <c r="C41" s="372"/>
      <c r="D41" s="372"/>
      <c r="E41" s="372"/>
      <c r="F41" s="372"/>
      <c r="G41" s="372"/>
      <c r="H41" s="372"/>
      <c r="I41" s="372"/>
      <c r="J41" s="372"/>
      <c r="K41" s="372"/>
      <c r="L41" s="372"/>
      <c r="M41" s="372"/>
    </row>
    <row r="42" spans="1:13" ht="17.100000000000001" hidden="1" customHeight="1" x14ac:dyDescent="0.25">
      <c r="A42" s="57"/>
      <c r="B42" s="372"/>
      <c r="C42" s="372"/>
      <c r="D42" s="372"/>
      <c r="E42" s="372"/>
      <c r="F42" s="372"/>
      <c r="G42" s="372"/>
      <c r="H42" s="372"/>
      <c r="I42" s="372"/>
      <c r="J42" s="372"/>
      <c r="K42" s="372"/>
      <c r="L42" s="372"/>
      <c r="M42" s="372"/>
    </row>
    <row r="43" spans="1:13" ht="18" hidden="1" customHeight="1" x14ac:dyDescent="0.25">
      <c r="A43" s="57"/>
      <c r="B43" s="370" t="str">
        <f>IF($F$5&lt;&gt;"כן","",IFERROR(INDEX($G$54:$G$64,MATCH("2-5",$D$54:$D$64,0)),""))</f>
        <v/>
      </c>
      <c r="C43" s="370"/>
      <c r="D43" s="370" t="str">
        <f>IF($F$5&lt;&gt;"כן","",IFERROR(INDEX($G$54:$G$64,MATCH("2-3",$D$54:$D$64,0)),""))</f>
        <v/>
      </c>
      <c r="E43" s="370"/>
      <c r="F43" s="370" t="str">
        <f>IF($F$5&lt;&gt;"כן","",IFERROR(INDEX($G$54:$G$64,MATCH("2-1",$D$54:$D$64,0)),""))</f>
        <v/>
      </c>
      <c r="G43" s="370"/>
      <c r="H43" s="370" t="str">
        <f>IF($F$5&lt;&gt;"כן","",IFERROR(INDEX($G$54:$G$64,MATCH("2-2",$D$54:$D$64,0)),""))</f>
        <v/>
      </c>
      <c r="I43" s="370"/>
      <c r="J43" s="370" t="str">
        <f>IF($F$5&lt;&gt;"כן","",IFERROR(INDEX($G$54:$G$64,MATCH("2-4",$D$54:$D$64,0)),""))</f>
        <v/>
      </c>
      <c r="K43" s="370"/>
      <c r="L43" s="370" t="str">
        <f>IF($F$5&lt;&gt;"כן","",IFERROR(INDEX($G$54:$G$64,MATCH("2-6",$D$54:$D$64,0)),""))</f>
        <v/>
      </c>
      <c r="M43" s="370"/>
    </row>
    <row r="44" spans="1:13" ht="18" hidden="1" customHeight="1" x14ac:dyDescent="0.25">
      <c r="A44" s="57"/>
      <c r="B44" s="371" t="str">
        <f>IF(B43="","","↓")</f>
        <v/>
      </c>
      <c r="C44" s="371"/>
      <c r="D44" s="371" t="str">
        <f>IF(D43="","","↓")</f>
        <v/>
      </c>
      <c r="E44" s="371"/>
      <c r="F44" s="371" t="str">
        <f>IF(F43="","","↓")</f>
        <v/>
      </c>
      <c r="G44" s="371"/>
      <c r="H44" s="371" t="str">
        <f>IF(H43="","","↓")</f>
        <v/>
      </c>
      <c r="I44" s="371"/>
      <c r="J44" s="371" t="str">
        <f>IF(J43="","","↓")</f>
        <v/>
      </c>
      <c r="K44" s="371"/>
      <c r="L44" s="371" t="str">
        <f>IF(L43="","","↓")</f>
        <v/>
      </c>
      <c r="M44" s="371"/>
    </row>
    <row r="45" spans="1:13" ht="17.100000000000001" hidden="1" customHeight="1" x14ac:dyDescent="0.25">
      <c r="A45" s="57"/>
      <c r="B45" s="372" t="str">
        <f>IF($F$5&lt;&gt;"כן","",IFERROR(INDEX($E$54:$E$64,MATCH("2-5",$D$54:$D$64,0)),""))</f>
        <v/>
      </c>
      <c r="C45" s="372"/>
      <c r="D45" s="372" t="str">
        <f>IF($F$5&lt;&gt;"כן","",IFERROR(INDEX($E$54:$E$64,MATCH("2-3",$D$54:$D$64,0)),""))</f>
        <v/>
      </c>
      <c r="E45" s="372"/>
      <c r="F45" s="372" t="str">
        <f>IF($F$5&lt;&gt;"כן","",IFERROR(INDEX($E$54:$E$64,MATCH("2-1",$D$54:$D$64,0)),""))</f>
        <v/>
      </c>
      <c r="G45" s="372"/>
      <c r="H45" s="372" t="str">
        <f>IF($F$5&lt;&gt;"כן","",IFERROR(INDEX($E$54:$E$64,MATCH("2-2",$D$54:$D$64,0)),""))</f>
        <v/>
      </c>
      <c r="I45" s="372"/>
      <c r="J45" s="372" t="str">
        <f>IF($F$5&lt;&gt;"כן","",IFERROR(INDEX($E$54:$E$64,MATCH("2-4",$D$54:$D$64,0)),""))</f>
        <v/>
      </c>
      <c r="K45" s="372"/>
      <c r="L45" s="372" t="str">
        <f>IF($F$5&lt;&gt;"כן","",IFERROR(INDEX($E$54:$E$64,MATCH("2-6",$D$54:$D$64,0)),""))</f>
        <v/>
      </c>
      <c r="M45" s="372"/>
    </row>
    <row r="46" spans="1:13" ht="17.100000000000001" hidden="1" customHeight="1" x14ac:dyDescent="0.25">
      <c r="A46" s="57"/>
      <c r="B46" s="372"/>
      <c r="C46" s="372"/>
      <c r="D46" s="372"/>
      <c r="E46" s="372"/>
      <c r="F46" s="372"/>
      <c r="G46" s="372"/>
      <c r="H46" s="372"/>
      <c r="I46" s="372"/>
      <c r="J46" s="372"/>
      <c r="K46" s="372"/>
      <c r="L46" s="372"/>
      <c r="M46" s="372"/>
    </row>
    <row r="47" spans="1:13" ht="17.100000000000001" hidden="1" customHeight="1" x14ac:dyDescent="0.25">
      <c r="A47" s="57"/>
      <c r="B47" s="372"/>
      <c r="C47" s="372"/>
      <c r="D47" s="372"/>
      <c r="E47" s="372"/>
      <c r="F47" s="372"/>
      <c r="G47" s="372"/>
      <c r="H47" s="372"/>
      <c r="I47" s="372"/>
      <c r="J47" s="372"/>
      <c r="K47" s="372"/>
      <c r="L47" s="372"/>
      <c r="M47" s="372"/>
    </row>
    <row r="48" spans="1:13" ht="17.100000000000001" hidden="1" customHeight="1" x14ac:dyDescent="0.25">
      <c r="A48" s="57"/>
      <c r="B48" s="372"/>
      <c r="C48" s="372"/>
      <c r="D48" s="372"/>
      <c r="E48" s="372"/>
      <c r="F48" s="372"/>
      <c r="G48" s="372"/>
      <c r="H48" s="372"/>
      <c r="I48" s="372"/>
      <c r="J48" s="372"/>
      <c r="K48" s="372"/>
      <c r="L48" s="372"/>
      <c r="M48" s="372"/>
    </row>
    <row r="49" spans="1:13" ht="18" hidden="1" customHeight="1" x14ac:dyDescent="0.25">
      <c r="A49" s="57"/>
    </row>
    <row r="50" spans="1:13" ht="18" hidden="1" customHeight="1" x14ac:dyDescent="0.25">
      <c r="A50" s="57"/>
    </row>
    <row r="52" spans="1:13" ht="21.95" hidden="1" customHeight="1" x14ac:dyDescent="0.25">
      <c r="A52" s="373" t="s">
        <v>243</v>
      </c>
      <c r="B52" s="373"/>
      <c r="C52" s="373"/>
      <c r="D52" s="373"/>
      <c r="E52" s="373"/>
      <c r="F52" s="373"/>
      <c r="G52" s="373"/>
      <c r="H52" s="373"/>
      <c r="I52" s="373"/>
      <c r="J52" s="373"/>
      <c r="K52" s="373"/>
      <c r="L52" s="373"/>
      <c r="M52" s="373"/>
    </row>
    <row r="53" spans="1:13" hidden="1" x14ac:dyDescent="0.25">
      <c r="A53" s="58" t="s">
        <v>137</v>
      </c>
      <c r="B53" s="58" t="s">
        <v>244</v>
      </c>
      <c r="C53" s="58" t="s">
        <v>245</v>
      </c>
      <c r="D53" s="58" t="s">
        <v>246</v>
      </c>
      <c r="E53" s="58" t="s">
        <v>247</v>
      </c>
      <c r="F53" s="58" t="s">
        <v>248</v>
      </c>
      <c r="G53" s="58" t="s">
        <v>258</v>
      </c>
      <c r="H53" s="58" t="s">
        <v>259</v>
      </c>
      <c r="J53" s="58" t="s">
        <v>249</v>
      </c>
      <c r="K53" s="58" t="s">
        <v>250</v>
      </c>
    </row>
    <row r="54" spans="1:13" hidden="1" x14ac:dyDescent="0.25">
      <c r="A54" s="42">
        <v>1</v>
      </c>
      <c r="B54" s="42" t="str">
        <f t="shared" ref="B54:B57" si="0">IF($B13="","",IF(OR($G13="",$G13=$B$9),1,2))</f>
        <v/>
      </c>
      <c r="C54" s="42" t="str">
        <f>IF($B54="","",COUNTIF($B$54:$B54,$B54))</f>
        <v/>
      </c>
      <c r="D54" s="42" t="str">
        <f t="shared" ref="D54:D64" si="1">IF($B54="","",$B54&amp;"-"&amp;$C54)</f>
        <v/>
      </c>
      <c r="E54" s="42" t="str">
        <f t="shared" ref="E54:E57" si="2">IF($B13="","",$B13&amp;CHAR(10)&amp;IF($F13="","—",$F13)&amp;CHAR(10)&amp;IF($L13="כן","נכללת באיחוד","מוצגת בלבד")&amp;IF($B54=2,CHAR(10)&amp;"מוחזקת ע""י: "&amp;$G13,""))</f>
        <v/>
      </c>
      <c r="F54" s="42">
        <f>$B$9</f>
        <v>0</v>
      </c>
      <c r="G54" s="42" t="str">
        <f t="shared" ref="G54:G57" si="3">IF($B13="","",IF($H13="","—",TEXT($H13,"0")&amp;"%"))</f>
        <v/>
      </c>
      <c r="H54" s="42" t="str">
        <f t="shared" ref="H54:H57" si="4">IF($B13="","",$B13)</f>
        <v/>
      </c>
      <c r="J54" s="42" t="s">
        <v>251</v>
      </c>
      <c r="K54" s="204">
        <f>SUMPRODUCT(($B$13:$B$24&lt;&gt;"")*($F$13:$F$24=""))</f>
        <v>0</v>
      </c>
    </row>
    <row r="55" spans="1:13" hidden="1" x14ac:dyDescent="0.25">
      <c r="A55" s="42">
        <v>2</v>
      </c>
      <c r="B55" s="42" t="str">
        <f t="shared" si="0"/>
        <v/>
      </c>
      <c r="C55" s="42" t="str">
        <f>IF($B55="","",COUNTIF($B$54:$B55,$B55))</f>
        <v/>
      </c>
      <c r="D55" s="42" t="str">
        <f t="shared" si="1"/>
        <v/>
      </c>
      <c r="E55" s="42" t="str">
        <f t="shared" si="2"/>
        <v/>
      </c>
      <c r="F55" s="42">
        <f t="shared" ref="F55:F57" si="5">$B13</f>
        <v>0</v>
      </c>
      <c r="G55" s="42" t="str">
        <f t="shared" si="3"/>
        <v/>
      </c>
      <c r="H55" s="42" t="str">
        <f t="shared" si="4"/>
        <v/>
      </c>
      <c r="J55" s="42" t="s">
        <v>252</v>
      </c>
      <c r="K55" s="204">
        <f>SUMPRODUCT(($B$13:$B$24&lt;&gt;"")*(($H$13:$H$24="")+(N($H$13:$H$24)&gt;100)))</f>
        <v>0</v>
      </c>
    </row>
    <row r="56" spans="1:13" hidden="1" x14ac:dyDescent="0.25">
      <c r="A56" s="42">
        <v>3</v>
      </c>
      <c r="B56" s="42" t="str">
        <f t="shared" si="0"/>
        <v/>
      </c>
      <c r="C56" s="42" t="str">
        <f>IF($B56="","",COUNTIF($B$54:$B56,$B56))</f>
        <v/>
      </c>
      <c r="D56" s="42" t="str">
        <f t="shared" si="1"/>
        <v/>
      </c>
      <c r="E56" s="42" t="str">
        <f t="shared" si="2"/>
        <v/>
      </c>
      <c r="F56" s="42">
        <f t="shared" si="5"/>
        <v>0</v>
      </c>
      <c r="G56" s="42" t="str">
        <f t="shared" si="3"/>
        <v/>
      </c>
      <c r="H56" s="42" t="str">
        <f t="shared" si="4"/>
        <v/>
      </c>
      <c r="J56" s="42" t="s">
        <v>253</v>
      </c>
      <c r="K56" s="204">
        <f>SUMPRODUCT(($B$13:$B$24&lt;&gt;"")*($G$13:$G$24&lt;&gt;"")*($G$13:$G$24&lt;&gt;$B$9)*(COUNTIF($B$13:$B$24,$G$13:$G$24&amp;"")=0))</f>
        <v>0</v>
      </c>
    </row>
    <row r="57" spans="1:13" hidden="1" x14ac:dyDescent="0.25">
      <c r="A57" s="42">
        <v>4</v>
      </c>
      <c r="B57" s="42" t="str">
        <f t="shared" si="0"/>
        <v/>
      </c>
      <c r="C57" s="42" t="str">
        <f>IF($B57="","",COUNTIF($B$54:$B57,$B57))</f>
        <v/>
      </c>
      <c r="D57" s="42" t="str">
        <f t="shared" si="1"/>
        <v/>
      </c>
      <c r="E57" s="42" t="str">
        <f t="shared" si="2"/>
        <v/>
      </c>
      <c r="F57" s="42">
        <f t="shared" si="5"/>
        <v>0</v>
      </c>
      <c r="G57" s="42" t="str">
        <f t="shared" si="3"/>
        <v/>
      </c>
      <c r="H57" s="42" t="str">
        <f t="shared" si="4"/>
        <v/>
      </c>
      <c r="J57" s="42" t="s">
        <v>260</v>
      </c>
      <c r="K57" s="204">
        <f>IF(OR(COUNTIF($B$54:$B$64,1)&gt;6,COUNTIF($B$54:$B$64,2)&gt;6),1,0)</f>
        <v>0</v>
      </c>
    </row>
    <row r="58" spans="1:13" hidden="1" x14ac:dyDescent="0.25">
      <c r="A58" s="42">
        <v>6</v>
      </c>
      <c r="B58" s="42" t="str">
        <f t="shared" ref="B58:B64" si="6">IF($B18="","",IF(OR($G18="",$G18=$B$9),1,2))</f>
        <v/>
      </c>
      <c r="C58" s="42" t="str">
        <f>IF($B58="","",COUNTIF($B$54:$B58,$B58))</f>
        <v/>
      </c>
      <c r="D58" s="42" t="str">
        <f t="shared" si="1"/>
        <v/>
      </c>
      <c r="E58" s="42" t="str">
        <f t="shared" ref="E58:E64" si="7">IF($B18="","",$B18&amp;CHAR(10)&amp;IF($F18="","—",$F18)&amp;CHAR(10)&amp;IF($L18="כן","נכללת באיחוד","מוצגת בלבד")&amp;IF($B58=2,CHAR(10)&amp;"מוחזקת ע""י: "&amp;$G18,""))</f>
        <v/>
      </c>
      <c r="F58" s="42">
        <f t="shared" ref="F58:F65" si="8">$B17</f>
        <v>0</v>
      </c>
      <c r="G58" s="42" t="str">
        <f t="shared" ref="G58:G64" si="9">IF($B18="","",IF($H18="","—",TEXT($H18,"0")&amp;"%"))</f>
        <v/>
      </c>
      <c r="H58" s="42" t="str">
        <f t="shared" ref="H58:H64" si="10">IF($B18="","",$B18)</f>
        <v/>
      </c>
      <c r="J58" s="42" t="s">
        <v>261</v>
      </c>
      <c r="K58" s="204">
        <f>IF(AND($F$5="לא",COUNTA($B$13:$B$24)&gt;0),1,0)</f>
        <v>0</v>
      </c>
    </row>
    <row r="59" spans="1:13" hidden="1" x14ac:dyDescent="0.25">
      <c r="A59" s="42">
        <v>7</v>
      </c>
      <c r="B59" s="42" t="str">
        <f t="shared" si="6"/>
        <v/>
      </c>
      <c r="C59" s="42" t="str">
        <f>IF($B59="","",COUNTIF($B$54:$B59,$B59))</f>
        <v/>
      </c>
      <c r="D59" s="42" t="str">
        <f t="shared" si="1"/>
        <v/>
      </c>
      <c r="E59" s="42" t="str">
        <f t="shared" si="7"/>
        <v/>
      </c>
      <c r="F59" s="42">
        <f t="shared" si="8"/>
        <v>0</v>
      </c>
      <c r="G59" s="42" t="str">
        <f t="shared" si="9"/>
        <v/>
      </c>
      <c r="H59" s="42" t="str">
        <f t="shared" si="10"/>
        <v/>
      </c>
      <c r="J59" s="42" t="s">
        <v>254</v>
      </c>
      <c r="K59" s="204">
        <f>SUM(K54:K57)+K58</f>
        <v>0</v>
      </c>
    </row>
    <row r="60" spans="1:13" hidden="1" x14ac:dyDescent="0.25">
      <c r="A60" s="42">
        <v>8</v>
      </c>
      <c r="B60" s="42" t="str">
        <f t="shared" si="6"/>
        <v/>
      </c>
      <c r="C60" s="42" t="str">
        <f>IF($B60="","",COUNTIF($B$54:$B60,$B60))</f>
        <v/>
      </c>
      <c r="D60" s="42" t="str">
        <f t="shared" si="1"/>
        <v/>
      </c>
      <c r="E60" s="42" t="str">
        <f t="shared" si="7"/>
        <v/>
      </c>
      <c r="F60" s="42">
        <f t="shared" si="8"/>
        <v>0</v>
      </c>
      <c r="G60" s="42" t="str">
        <f t="shared" si="9"/>
        <v/>
      </c>
      <c r="H60" s="42" t="str">
        <f t="shared" si="10"/>
        <v/>
      </c>
      <c r="K60" s="204">
        <f t="shared" ref="K60:K66" si="11">SUM(K55:K58)+K59</f>
        <v>0</v>
      </c>
    </row>
    <row r="61" spans="1:13" hidden="1" x14ac:dyDescent="0.25">
      <c r="A61" s="42">
        <v>9</v>
      </c>
      <c r="B61" s="42" t="str">
        <f t="shared" si="6"/>
        <v/>
      </c>
      <c r="C61" s="42" t="str">
        <f>IF($B61="","",COUNTIF($B$54:$B61,$B61))</f>
        <v/>
      </c>
      <c r="D61" s="42" t="str">
        <f t="shared" si="1"/>
        <v/>
      </c>
      <c r="E61" s="42" t="str">
        <f t="shared" si="7"/>
        <v/>
      </c>
      <c r="F61" s="42">
        <f t="shared" si="8"/>
        <v>0</v>
      </c>
      <c r="G61" s="42" t="str">
        <f t="shared" si="9"/>
        <v/>
      </c>
      <c r="H61" s="42" t="str">
        <f t="shared" si="10"/>
        <v/>
      </c>
      <c r="K61" s="204">
        <f t="shared" si="11"/>
        <v>0</v>
      </c>
    </row>
    <row r="62" spans="1:13" hidden="1" x14ac:dyDescent="0.25">
      <c r="A62" s="42">
        <v>10</v>
      </c>
      <c r="B62" s="42" t="str">
        <f t="shared" si="6"/>
        <v/>
      </c>
      <c r="C62" s="42" t="str">
        <f>IF($B62="","",COUNTIF($B$54:$B62,$B62))</f>
        <v/>
      </c>
      <c r="D62" s="42" t="str">
        <f t="shared" si="1"/>
        <v/>
      </c>
      <c r="E62" s="42" t="str">
        <f t="shared" si="7"/>
        <v/>
      </c>
      <c r="F62" s="42">
        <f t="shared" si="8"/>
        <v>0</v>
      </c>
      <c r="G62" s="42" t="str">
        <f t="shared" si="9"/>
        <v/>
      </c>
      <c r="H62" s="42" t="str">
        <f t="shared" si="10"/>
        <v/>
      </c>
      <c r="K62" s="204">
        <f t="shared" si="11"/>
        <v>0</v>
      </c>
    </row>
    <row r="63" spans="1:13" hidden="1" x14ac:dyDescent="0.25">
      <c r="A63" s="42">
        <v>11</v>
      </c>
      <c r="B63" s="42" t="str">
        <f t="shared" si="6"/>
        <v/>
      </c>
      <c r="C63" s="42" t="str">
        <f>IF($B63="","",COUNTIF($B$54:$B63,$B63))</f>
        <v/>
      </c>
      <c r="D63" s="42" t="str">
        <f t="shared" si="1"/>
        <v/>
      </c>
      <c r="E63" s="42" t="str">
        <f t="shared" si="7"/>
        <v/>
      </c>
      <c r="F63" s="42">
        <f t="shared" si="8"/>
        <v>0</v>
      </c>
      <c r="G63" s="42" t="str">
        <f t="shared" si="9"/>
        <v/>
      </c>
      <c r="H63" s="42" t="str">
        <f t="shared" si="10"/>
        <v/>
      </c>
      <c r="K63" s="204">
        <f t="shared" si="11"/>
        <v>0</v>
      </c>
    </row>
    <row r="64" spans="1:13" hidden="1" x14ac:dyDescent="0.25">
      <c r="A64" s="42">
        <v>12</v>
      </c>
      <c r="B64" s="42" t="str">
        <f t="shared" si="6"/>
        <v/>
      </c>
      <c r="C64" s="42" t="str">
        <f>IF($B64="","",COUNTIF($B$54:$B64,$B64))</f>
        <v/>
      </c>
      <c r="D64" s="42" t="str">
        <f t="shared" si="1"/>
        <v/>
      </c>
      <c r="E64" s="42" t="str">
        <f t="shared" si="7"/>
        <v/>
      </c>
      <c r="F64" s="42">
        <f t="shared" si="8"/>
        <v>0</v>
      </c>
      <c r="G64" s="42" t="str">
        <f t="shared" si="9"/>
        <v/>
      </c>
      <c r="H64" s="42" t="str">
        <f t="shared" si="10"/>
        <v/>
      </c>
      <c r="K64" s="204">
        <f t="shared" si="11"/>
        <v>0</v>
      </c>
    </row>
    <row r="65" spans="6:11" hidden="1" x14ac:dyDescent="0.25">
      <c r="F65" s="42">
        <f t="shared" si="8"/>
        <v>0</v>
      </c>
      <c r="K65" s="204">
        <f t="shared" si="11"/>
        <v>0</v>
      </c>
    </row>
    <row r="66" spans="6:11" hidden="1" x14ac:dyDescent="0.25">
      <c r="K66" s="204">
        <f t="shared" si="11"/>
        <v>0</v>
      </c>
    </row>
    <row r="70" spans="6:11" x14ac:dyDescent="0.25"/>
  </sheetData>
  <sheetProtection algorithmName="SHA-512" hashValue="4uiUq6u/WBvQXnxbm7GcPZ9ke1XnXedKLCM6gYR/ZAXmJe1ZB/LCSZvOzaqjncu+nD4MG1jgi07vy5gbhiA/KQ==" saltValue="VFyeVAyP0qeV8nxy5VjJcA==" spinCount="100000" sheet="1" objects="1" scenarios="1" formatCells="0" insertHyperlinks="0" selectLockedCells="1"/>
  <mergeCells count="68">
    <mergeCell ref="I12:J12"/>
    <mergeCell ref="O3:O4"/>
    <mergeCell ref="A1:M1"/>
    <mergeCell ref="A2:M2"/>
    <mergeCell ref="A4:M4"/>
    <mergeCell ref="B5:E5"/>
    <mergeCell ref="G5:M5"/>
    <mergeCell ref="B8:C8"/>
    <mergeCell ref="F8:G8"/>
    <mergeCell ref="B9:C9"/>
    <mergeCell ref="F9:G9"/>
    <mergeCell ref="A11:M11"/>
    <mergeCell ref="A52:M52"/>
    <mergeCell ref="A26:M26"/>
    <mergeCell ref="B27:D27"/>
    <mergeCell ref="B28:D28"/>
    <mergeCell ref="B29:D29"/>
    <mergeCell ref="A31:M31"/>
    <mergeCell ref="F33:I35"/>
    <mergeCell ref="F36:I36"/>
    <mergeCell ref="D44:E44"/>
    <mergeCell ref="D45:E48"/>
    <mergeCell ref="B37:C37"/>
    <mergeCell ref="B38:C38"/>
    <mergeCell ref="B39:C42"/>
    <mergeCell ref="B43:C43"/>
    <mergeCell ref="B44:C44"/>
    <mergeCell ref="B45:C48"/>
    <mergeCell ref="H44:I44"/>
    <mergeCell ref="H45:I48"/>
    <mergeCell ref="F37:G37"/>
    <mergeCell ref="F38:G38"/>
    <mergeCell ref="F39:G42"/>
    <mergeCell ref="F43:G43"/>
    <mergeCell ref="F44:G44"/>
    <mergeCell ref="F45:G48"/>
    <mergeCell ref="H37:I37"/>
    <mergeCell ref="H38:I38"/>
    <mergeCell ref="H39:I42"/>
    <mergeCell ref="H43:I43"/>
    <mergeCell ref="D37:E37"/>
    <mergeCell ref="D38:E38"/>
    <mergeCell ref="L44:M44"/>
    <mergeCell ref="L45:M48"/>
    <mergeCell ref="J37:K37"/>
    <mergeCell ref="J38:K38"/>
    <mergeCell ref="J39:K42"/>
    <mergeCell ref="J43:K43"/>
    <mergeCell ref="J44:K44"/>
    <mergeCell ref="J45:K48"/>
    <mergeCell ref="L37:M37"/>
    <mergeCell ref="L38:M38"/>
    <mergeCell ref="L39:M42"/>
    <mergeCell ref="L43:M43"/>
    <mergeCell ref="D39:E42"/>
    <mergeCell ref="D43:E43"/>
    <mergeCell ref="I13:J13"/>
    <mergeCell ref="I14:J14"/>
    <mergeCell ref="I15:J15"/>
    <mergeCell ref="I16:J16"/>
    <mergeCell ref="I17:J17"/>
    <mergeCell ref="I23:J23"/>
    <mergeCell ref="I24:J24"/>
    <mergeCell ref="I18:J18"/>
    <mergeCell ref="I19:J19"/>
    <mergeCell ref="I20:J20"/>
    <mergeCell ref="I21:J21"/>
    <mergeCell ref="I22:J22"/>
  </mergeCells>
  <conditionalFormatting sqref="A11:O24">
    <cfRule type="expression" dxfId="29" priority="13">
      <formula>$F$5&lt;&gt;"כן"</formula>
    </cfRule>
  </conditionalFormatting>
  <conditionalFormatting sqref="B39:M42">
    <cfRule type="expression" dxfId="28" priority="17">
      <formula>LEN(B39)&gt;0</formula>
    </cfRule>
  </conditionalFormatting>
  <conditionalFormatting sqref="B45:M48">
    <cfRule type="expression" dxfId="27" priority="18">
      <formula>LEN(B45)&gt;0</formula>
    </cfRule>
  </conditionalFormatting>
  <conditionalFormatting sqref="E28">
    <cfRule type="containsText" dxfId="26" priority="14" operator="containsText" text="תקין">
      <formula>NOT(ISERROR(SEARCH("תקין",E28)))</formula>
    </cfRule>
    <cfRule type="containsText" dxfId="25" priority="15" operator="containsText" text="תיקון">
      <formula>NOT(ISERROR(SEARCH("תיקון",E28)))</formula>
    </cfRule>
  </conditionalFormatting>
  <dataValidations count="9">
    <dataValidation type="list" allowBlank="1" showInputMessage="1" showErrorMessage="1" errorTitle="ערך לא תקין" error="יש לבחור ערך מתוך הרשימה בלבד." promptTitle="ישויות קשורות" prompt="האם למבקש יש תאגידים או ישויות קשורות? התרשים ייווצר רק אם התשובה 'כן'." sqref="F5" xr:uid="{00000000-0002-0000-0200-000000000000}">
      <formula1>"כן,לא"</formula1>
    </dataValidation>
    <dataValidation type="list" allowBlank="1" showInputMessage="1" showErrorMessage="1" errorTitle="ערך לא תקין" error="יש לבחור ערך מתוך הרשימה בלבד." promptTitle="סוג הקשר למבקש" prompt="בחרו את סוג הקשר בין הישות למבקש." sqref="F13:F24" xr:uid="{00000000-0002-0000-0200-000001000000}">
      <formula1>"חברת אם,חברה בת,חברה אחות,חברה בשליטה משותפת,אחר"</formula1>
    </dataValidation>
    <dataValidation type="list" allowBlank="1" showInputMessage="1" showErrorMessage="1" errorTitle="ערך לא תקין" error="יש לבחור ערך מתוך הרשימה בלבד." promptTitle="מדינת התאגדות" prompt="בחרו את מדינת ההתאגדות." sqref="E13:E24" xr:uid="{00000000-0002-0000-0200-000002000000}">
      <formula1>"ישראל,ארה""ב,בריטניה,גרמניה,צרפת,הולנד,קפריסין,סינגפור,אחר"</formula1>
    </dataValidation>
    <dataValidation type="list" allowBlank="1" showInputMessage="1" showErrorMessage="1" errorTitle="ערך לא תקין" error="יש לבחור ערך מתוך הרשימה בלבד." promptTitle="מקדמת את פעילות המבקש?" prompt="האם הפעילות העיקרית של הישות מקדמת את פעילות המבקש." sqref="K13:K24" xr:uid="{00000000-0002-0000-0200-000003000000}">
      <formula1>"כן,לא — יוצג בעץ אך לא ייכלל,לא"</formula1>
    </dataValidation>
    <dataValidation type="list" allowBlank="1" showInputMessage="1" showErrorMessage="1" errorTitle="ערך לא תקין" error="יש לבחור ערך מתוך הרשימה בלבד." promptTitle="כלולה באיחוד" prompt="האם הישות נכללת בחישוב המאוחד של הקבוצה." sqref="L13:L24" xr:uid="{00000000-0002-0000-0200-000004000000}">
      <formula1>"כן,לא"</formula1>
    </dataValidation>
    <dataValidation type="list" allowBlank="1" showInputMessage="1" showErrorMessage="1" errorTitle="ערך לא תקין" error="יש לבחור ערך מתוך הרשימה בלבד." promptTitle="מדינת התאגדות" prompt="בחרו את מדינת ההתאגדות של המבקש." sqref="E9" xr:uid="{00000000-0002-0000-0200-000005000000}">
      <formula1>"ישראל,ארה""ב,בריטניה,גרמניה,צרפת,הולנד,קפריסין,סינגפור,אחר"</formula1>
    </dataValidation>
    <dataValidation type="custom" allowBlank="1" showInputMessage="1" showErrorMessage="1" errorTitle="סעיף סגור" error="הסעיף סגור. כדי להזין ישויות יש לבחור 'כן' בשאלה על קיום ישויות קשורות." sqref="I13:I24 M13:M24 J18:J24 B13:C24" xr:uid="{00000000-0002-0000-0200-000006000000}">
      <formula1>$F$5="כן"</formula1>
    </dataValidation>
    <dataValidation type="list" allowBlank="1" showInputMessage="1" showErrorMessage="1" errorTitle="ערך לא תקין" error="יש לבחור ערך מתוך הרשימה בלבד." promptTitle="תאגיד אב" prompt="להשארה ריק אם הישות מוחזקת ישירות ע&quot;י המבקש. לרמה שנייה — בחרו את הישות המחזיקה." sqref="G13:G24" xr:uid="{00000000-0002-0000-0200-000007000000}">
      <formula1>$F$54:$F$65</formula1>
    </dataValidation>
    <dataValidation type="decimal" allowBlank="1" showInputMessage="1" showErrorMessage="1" sqref="H13:H24" xr:uid="{DA796808-327A-49AB-9D78-3665BFFE479B}">
      <formula1>0</formula1>
      <formula2>100</formula2>
    </dataValidation>
  </dataValidations>
  <hyperlinks>
    <hyperlink ref="O1" location="'1. מדריך והנחיות'!A1" display="⌂  שלב 1 — מדריך והנחיות" xr:uid="{00000000-0004-0000-0200-000000000000}"/>
    <hyperlink ref="O2" location="'2.1 פרטי בקשה'!A1" display="→  הקודם: 2.1 פרטי בקשה" xr:uid="{00000000-0004-0000-0200-000001000000}"/>
    <hyperlink ref="O3" location="'2.3 מצב כספי'!A1" display="הבא: 2.3 מצב כספי  ←" xr:uid="{00000000-0004-0000-0200-000002000000}"/>
  </hyperlink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56"/>
  <sheetViews>
    <sheetView showGridLines="0" rightToLeft="1" zoomScaleNormal="100" workbookViewId="0">
      <selection activeCell="M1" sqref="M1"/>
    </sheetView>
  </sheetViews>
  <sheetFormatPr defaultColWidth="0" defaultRowHeight="15" zeroHeight="1" x14ac:dyDescent="0.25"/>
  <cols>
    <col min="1" max="1" width="6.140625" style="42" customWidth="1"/>
    <col min="2" max="2" width="36.42578125" style="42" customWidth="1"/>
    <col min="3" max="3" width="20.85546875" style="42" customWidth="1"/>
    <col min="4" max="4" width="19.140625" style="42" customWidth="1"/>
    <col min="5" max="5" width="1.7109375" style="42" customWidth="1"/>
    <col min="6" max="6" width="50.7109375" style="42" customWidth="1"/>
    <col min="7" max="7" width="1.7109375" style="42" customWidth="1"/>
    <col min="8" max="8" width="6.140625" style="42" customWidth="1"/>
    <col min="9" max="9" width="36.42578125" style="42" customWidth="1"/>
    <col min="10" max="10" width="20.85546875" style="42" customWidth="1"/>
    <col min="11" max="11" width="19.140625" style="42" customWidth="1"/>
    <col min="12" max="12" width="1.7109375" style="42" customWidth="1"/>
    <col min="13" max="13" width="50.7109375" style="42" customWidth="1"/>
    <col min="14" max="14" width="1.7109375" style="42" customWidth="1"/>
    <col min="15" max="15" width="0" style="42" hidden="1" customWidth="1"/>
    <col min="16" max="16384" width="8.7109375" style="42" hidden="1"/>
  </cols>
  <sheetData>
    <row r="1" spans="1:13" ht="31.5" customHeight="1" x14ac:dyDescent="0.25">
      <c r="A1" s="389" t="s">
        <v>408</v>
      </c>
      <c r="B1" s="389"/>
      <c r="C1" s="389"/>
      <c r="D1" s="389"/>
      <c r="E1" s="389"/>
      <c r="F1" s="389"/>
      <c r="G1" s="389"/>
      <c r="H1" s="389"/>
      <c r="I1" s="389"/>
      <c r="J1" s="389"/>
      <c r="K1" s="389"/>
      <c r="M1" s="330" t="s">
        <v>413</v>
      </c>
    </row>
    <row r="2" spans="1:13" ht="20.100000000000001" customHeight="1" x14ac:dyDescent="0.25">
      <c r="A2" s="390" t="s">
        <v>232</v>
      </c>
      <c r="B2" s="390"/>
      <c r="C2" s="390"/>
      <c r="D2" s="390"/>
      <c r="E2" s="390"/>
      <c r="F2" s="390"/>
      <c r="G2" s="390"/>
      <c r="H2" s="390"/>
      <c r="I2" s="390"/>
      <c r="J2" s="390"/>
      <c r="K2" s="390"/>
      <c r="M2" s="331" t="s">
        <v>416</v>
      </c>
    </row>
    <row r="3" spans="1:13" ht="20.100000000000001" customHeight="1" x14ac:dyDescent="0.25">
      <c r="M3" s="329" t="s">
        <v>417</v>
      </c>
    </row>
    <row r="4" spans="1:13" ht="14.25" customHeight="1" thickBot="1" x14ac:dyDescent="0.3"/>
    <row r="5" spans="1:13" ht="21.95" customHeight="1" thickBot="1" x14ac:dyDescent="0.3">
      <c r="A5" s="399" t="s">
        <v>233</v>
      </c>
      <c r="B5" s="399"/>
      <c r="C5" s="399"/>
      <c r="D5" s="399"/>
      <c r="F5" s="263" t="s">
        <v>498</v>
      </c>
      <c r="H5" s="399" t="s">
        <v>53</v>
      </c>
      <c r="I5" s="399"/>
      <c r="J5" s="399"/>
      <c r="K5" s="399"/>
      <c r="M5" s="267" t="s">
        <v>498</v>
      </c>
    </row>
    <row r="6" spans="1:13" ht="24" customHeight="1" x14ac:dyDescent="0.25">
      <c r="A6" s="52" t="s">
        <v>137</v>
      </c>
      <c r="B6" s="52" t="s">
        <v>33</v>
      </c>
      <c r="C6" s="52" t="s">
        <v>34</v>
      </c>
      <c r="D6" s="52" t="s">
        <v>35</v>
      </c>
      <c r="H6" s="52" t="s">
        <v>137</v>
      </c>
      <c r="I6" s="52" t="s">
        <v>33</v>
      </c>
      <c r="J6" s="52" t="s">
        <v>34</v>
      </c>
      <c r="K6" s="52" t="s">
        <v>35</v>
      </c>
    </row>
    <row r="7" spans="1:13" ht="14.25" customHeight="1" x14ac:dyDescent="0.25">
      <c r="A7" s="68">
        <v>1</v>
      </c>
      <c r="B7" s="69" t="s">
        <v>36</v>
      </c>
      <c r="C7" s="78"/>
      <c r="D7" s="79"/>
      <c r="F7" s="258"/>
      <c r="H7" s="68">
        <v>1</v>
      </c>
      <c r="I7" s="69" t="s">
        <v>54</v>
      </c>
      <c r="J7" s="78"/>
      <c r="K7" s="79"/>
      <c r="M7" s="258"/>
    </row>
    <row r="8" spans="1:13" ht="14.25" customHeight="1" x14ac:dyDescent="0.25">
      <c r="A8" s="68">
        <v>2</v>
      </c>
      <c r="B8" s="69" t="s">
        <v>37</v>
      </c>
      <c r="C8" s="78"/>
      <c r="D8" s="79"/>
      <c r="F8" s="258"/>
      <c r="H8" s="68">
        <v>2</v>
      </c>
      <c r="I8" s="69" t="s">
        <v>40</v>
      </c>
      <c r="J8" s="78"/>
      <c r="K8" s="79"/>
      <c r="M8" s="258"/>
    </row>
    <row r="9" spans="1:13" ht="14.25" customHeight="1" x14ac:dyDescent="0.25">
      <c r="A9" s="68">
        <v>3</v>
      </c>
      <c r="B9" s="69" t="s">
        <v>38</v>
      </c>
      <c r="C9" s="78"/>
      <c r="D9" s="79"/>
      <c r="F9" s="258"/>
      <c r="H9" s="68">
        <v>3</v>
      </c>
      <c r="I9" s="69" t="s">
        <v>55</v>
      </c>
      <c r="J9" s="78"/>
      <c r="K9" s="79"/>
      <c r="M9" s="258"/>
    </row>
    <row r="10" spans="1:13" ht="14.25" customHeight="1" x14ac:dyDescent="0.25">
      <c r="A10" s="68">
        <v>4</v>
      </c>
      <c r="B10" s="69" t="s">
        <v>39</v>
      </c>
      <c r="C10" s="78"/>
      <c r="D10" s="79"/>
      <c r="F10" s="258"/>
      <c r="H10" s="68">
        <v>4</v>
      </c>
      <c r="I10" s="69" t="s">
        <v>56</v>
      </c>
      <c r="J10" s="78"/>
      <c r="K10" s="79"/>
      <c r="M10" s="258"/>
    </row>
    <row r="11" spans="1:13" ht="14.25" customHeight="1" x14ac:dyDescent="0.25">
      <c r="A11" s="68">
        <v>5</v>
      </c>
      <c r="B11" s="69" t="s">
        <v>40</v>
      </c>
      <c r="C11" s="78"/>
      <c r="D11" s="79"/>
      <c r="F11" s="258"/>
      <c r="H11" s="68">
        <v>5</v>
      </c>
      <c r="I11" s="69" t="s">
        <v>57</v>
      </c>
      <c r="J11" s="78"/>
      <c r="K11" s="79"/>
      <c r="M11" s="258"/>
    </row>
    <row r="12" spans="1:13" ht="14.25" customHeight="1" x14ac:dyDescent="0.25">
      <c r="A12" s="68">
        <v>6</v>
      </c>
      <c r="B12" s="69" t="s">
        <v>41</v>
      </c>
      <c r="C12" s="78"/>
      <c r="D12" s="79"/>
      <c r="F12" s="258"/>
      <c r="H12" s="68">
        <v>6</v>
      </c>
      <c r="I12" s="69" t="s">
        <v>58</v>
      </c>
      <c r="J12" s="78"/>
      <c r="K12" s="79"/>
      <c r="M12" s="258"/>
    </row>
    <row r="13" spans="1:13" ht="14.25" customHeight="1" x14ac:dyDescent="0.25">
      <c r="A13" s="68">
        <v>7</v>
      </c>
      <c r="B13" s="69" t="s">
        <v>42</v>
      </c>
      <c r="C13" s="78"/>
      <c r="D13" s="79"/>
      <c r="F13" s="258"/>
      <c r="H13" s="68">
        <v>7</v>
      </c>
      <c r="I13" s="69" t="s">
        <v>41</v>
      </c>
      <c r="J13" s="78"/>
      <c r="K13" s="79"/>
      <c r="M13" s="258"/>
    </row>
    <row r="14" spans="1:13" ht="14.25" customHeight="1" x14ac:dyDescent="0.25">
      <c r="A14" s="68">
        <v>8</v>
      </c>
      <c r="B14" s="69" t="s">
        <v>43</v>
      </c>
      <c r="C14" s="78"/>
      <c r="D14" s="79"/>
      <c r="F14" s="258"/>
      <c r="H14" s="68">
        <v>8</v>
      </c>
      <c r="I14" s="69" t="s">
        <v>59</v>
      </c>
      <c r="J14" s="78"/>
      <c r="K14" s="79"/>
      <c r="M14" s="258"/>
    </row>
    <row r="15" spans="1:13" ht="14.25" customHeight="1" x14ac:dyDescent="0.25">
      <c r="A15" s="68">
        <v>9</v>
      </c>
      <c r="B15" s="69" t="s">
        <v>44</v>
      </c>
      <c r="C15" s="78"/>
      <c r="D15" s="79"/>
      <c r="F15" s="258"/>
      <c r="H15" s="70">
        <v>9</v>
      </c>
      <c r="I15" s="71" t="s">
        <v>60</v>
      </c>
      <c r="J15" s="80"/>
      <c r="K15" s="81"/>
      <c r="M15" s="258"/>
    </row>
    <row r="16" spans="1:13" ht="14.25" customHeight="1" x14ac:dyDescent="0.25">
      <c r="A16" s="70">
        <v>10</v>
      </c>
      <c r="B16" s="71" t="s">
        <v>45</v>
      </c>
      <c r="C16" s="80"/>
      <c r="D16" s="81"/>
      <c r="F16" s="258"/>
      <c r="H16" s="72"/>
      <c r="I16" s="73" t="s">
        <v>67</v>
      </c>
      <c r="J16" s="84">
        <f>SUM(J7:J15)</f>
        <v>0</v>
      </c>
      <c r="K16" s="84"/>
      <c r="M16" s="258"/>
    </row>
    <row r="17" spans="1:13" ht="14.25" customHeight="1" x14ac:dyDescent="0.25">
      <c r="A17" s="72"/>
      <c r="B17" s="73" t="s">
        <v>50</v>
      </c>
      <c r="C17" s="74">
        <f>SUM(C7:C16)</f>
        <v>0</v>
      </c>
      <c r="D17" s="74"/>
      <c r="F17" s="258"/>
      <c r="H17" s="75">
        <v>1</v>
      </c>
      <c r="I17" s="76" t="s">
        <v>61</v>
      </c>
      <c r="J17" s="82"/>
      <c r="K17" s="83"/>
      <c r="M17" s="258"/>
    </row>
    <row r="18" spans="1:13" ht="14.25" customHeight="1" x14ac:dyDescent="0.25">
      <c r="A18" s="75">
        <v>1</v>
      </c>
      <c r="B18" s="76" t="s">
        <v>46</v>
      </c>
      <c r="C18" s="82"/>
      <c r="D18" s="83"/>
      <c r="F18" s="258"/>
      <c r="H18" s="70">
        <v>2</v>
      </c>
      <c r="I18" s="71" t="s">
        <v>62</v>
      </c>
      <c r="J18" s="80"/>
      <c r="K18" s="81"/>
      <c r="M18" s="258"/>
    </row>
    <row r="19" spans="1:13" ht="14.25" customHeight="1" x14ac:dyDescent="0.25">
      <c r="A19" s="68">
        <v>2</v>
      </c>
      <c r="B19" s="69" t="s">
        <v>47</v>
      </c>
      <c r="C19" s="78"/>
      <c r="D19" s="79"/>
      <c r="F19" s="258"/>
      <c r="H19" s="72"/>
      <c r="I19" s="73" t="s">
        <v>68</v>
      </c>
      <c r="J19" s="74">
        <f>SUM(J17:J18)</f>
        <v>0</v>
      </c>
      <c r="K19" s="74"/>
      <c r="M19" s="258"/>
    </row>
    <row r="20" spans="1:13" ht="14.25" customHeight="1" x14ac:dyDescent="0.25">
      <c r="A20" s="68">
        <v>3</v>
      </c>
      <c r="B20" s="69" t="s">
        <v>48</v>
      </c>
      <c r="C20" s="78"/>
      <c r="D20" s="79"/>
      <c r="F20" s="258"/>
      <c r="H20" s="75">
        <v>1</v>
      </c>
      <c r="I20" s="76" t="s">
        <v>63</v>
      </c>
      <c r="J20" s="82"/>
      <c r="K20" s="83"/>
      <c r="M20" s="258"/>
    </row>
    <row r="21" spans="1:13" ht="14.25" customHeight="1" x14ac:dyDescent="0.25">
      <c r="A21" s="70">
        <v>4</v>
      </c>
      <c r="B21" s="71" t="s">
        <v>49</v>
      </c>
      <c r="C21" s="80"/>
      <c r="D21" s="81"/>
      <c r="F21" s="258"/>
      <c r="H21" s="68">
        <v>2</v>
      </c>
      <c r="I21" s="69" t="s">
        <v>64</v>
      </c>
      <c r="J21" s="78"/>
      <c r="K21" s="79"/>
      <c r="M21" s="258"/>
    </row>
    <row r="22" spans="1:13" ht="14.25" customHeight="1" x14ac:dyDescent="0.25">
      <c r="A22" s="72"/>
      <c r="B22" s="73" t="s">
        <v>51</v>
      </c>
      <c r="C22" s="74">
        <f>SUM(C18:C21)</f>
        <v>0</v>
      </c>
      <c r="D22" s="74"/>
      <c r="F22" s="258"/>
      <c r="H22" s="68">
        <v>3</v>
      </c>
      <c r="I22" s="69" t="s">
        <v>65</v>
      </c>
      <c r="J22" s="78"/>
      <c r="K22" s="79"/>
      <c r="M22" s="258"/>
    </row>
    <row r="23" spans="1:13" ht="14.25" customHeight="1" x14ac:dyDescent="0.25">
      <c r="H23" s="70">
        <v>4</v>
      </c>
      <c r="I23" s="71" t="s">
        <v>66</v>
      </c>
      <c r="J23" s="80"/>
      <c r="K23" s="81"/>
      <c r="M23" s="258"/>
    </row>
    <row r="24" spans="1:13" ht="14.25" customHeight="1" x14ac:dyDescent="0.25">
      <c r="H24" s="72"/>
      <c r="I24" s="73" t="s">
        <v>69</v>
      </c>
      <c r="J24" s="74">
        <f>SUM(J20:J23)</f>
        <v>0</v>
      </c>
      <c r="K24" s="74"/>
      <c r="M24" s="258"/>
    </row>
    <row r="25" spans="1:13" ht="24" customHeight="1" x14ac:dyDescent="0.25"/>
    <row r="26" spans="1:13" ht="24" customHeight="1" x14ac:dyDescent="0.25">
      <c r="A26" s="397" t="s">
        <v>52</v>
      </c>
      <c r="B26" s="398"/>
      <c r="C26" s="262">
        <f>C17+C22</f>
        <v>0</v>
      </c>
      <c r="H26" s="397" t="s">
        <v>70</v>
      </c>
      <c r="I26" s="398"/>
      <c r="J26" s="262">
        <f>J16+J19+J24</f>
        <v>0</v>
      </c>
    </row>
    <row r="27" spans="1:13" ht="14.25" customHeight="1" x14ac:dyDescent="0.25"/>
    <row r="28" spans="1:13" ht="21.95" customHeight="1" x14ac:dyDescent="0.25">
      <c r="A28" s="396" t="s">
        <v>71</v>
      </c>
      <c r="B28" s="396"/>
      <c r="C28" s="396"/>
      <c r="H28" s="396" t="s">
        <v>71</v>
      </c>
      <c r="I28" s="396"/>
      <c r="J28" s="396"/>
    </row>
    <row r="29" spans="1:13" ht="14.25" customHeight="1" x14ac:dyDescent="0.25">
      <c r="B29" s="67" t="s">
        <v>72</v>
      </c>
      <c r="C29" s="77">
        <f>C26-J26</f>
        <v>0</v>
      </c>
      <c r="I29" s="67" t="s">
        <v>73</v>
      </c>
      <c r="J29" s="54" t="str">
        <f>IF(ABS(C29)&lt;=100,"מאוזן ✓","אינו מאוזן ✗")</f>
        <v>מאוזן ✓</v>
      </c>
    </row>
    <row r="30" spans="1:13" ht="14.25" customHeight="1" x14ac:dyDescent="0.25">
      <c r="B30" s="67" t="s">
        <v>234</v>
      </c>
      <c r="C30" s="77">
        <f>C17-J16</f>
        <v>0</v>
      </c>
      <c r="I30" s="67" t="s">
        <v>130</v>
      </c>
      <c r="J30" s="77">
        <f>C7+C8</f>
        <v>0</v>
      </c>
    </row>
    <row r="31" spans="1:13" ht="14.25" customHeight="1" x14ac:dyDescent="0.25"/>
    <row r="32" spans="1:13" ht="21.95" customHeight="1" x14ac:dyDescent="0.25">
      <c r="A32" s="396" t="s">
        <v>74</v>
      </c>
      <c r="B32" s="396"/>
      <c r="C32" s="396"/>
    </row>
    <row r="33" spans="2:6" ht="14.25" customHeight="1" x14ac:dyDescent="0.25">
      <c r="B33" s="67" t="s">
        <v>75</v>
      </c>
      <c r="C33" s="77">
        <f>C7+C8+C19+C20</f>
        <v>0</v>
      </c>
    </row>
    <row r="34" spans="2:6" ht="14.25" customHeight="1" x14ac:dyDescent="0.25">
      <c r="B34" s="67" t="s">
        <v>76</v>
      </c>
      <c r="C34" s="85"/>
      <c r="F34" s="258"/>
    </row>
    <row r="35" spans="2:6" ht="14.25" customHeight="1" x14ac:dyDescent="0.25">
      <c r="B35" s="67" t="s">
        <v>77</v>
      </c>
      <c r="C35" s="54" t="str">
        <f>IF(ABS(C33-C34)&lt;=100,"תואם ✓","אי-התאמה ✗")</f>
        <v>תואם ✓</v>
      </c>
    </row>
    <row r="36" spans="2:6" ht="14.25" customHeight="1" x14ac:dyDescent="0.25"/>
    <row r="37" spans="2:6" ht="14.25" hidden="1" customHeight="1" x14ac:dyDescent="0.25"/>
    <row r="38" spans="2:6" ht="14.25" hidden="1" customHeight="1" x14ac:dyDescent="0.25"/>
    <row r="39" spans="2:6" ht="14.25" hidden="1" customHeight="1" x14ac:dyDescent="0.25"/>
    <row r="40" spans="2:6" ht="14.25" hidden="1" customHeight="1" x14ac:dyDescent="0.25"/>
    <row r="41" spans="2:6" ht="14.25" hidden="1" customHeight="1" x14ac:dyDescent="0.25"/>
    <row r="42" spans="2:6" ht="14.25" hidden="1" customHeight="1" x14ac:dyDescent="0.25"/>
    <row r="43" spans="2:6" ht="14.25" hidden="1" customHeight="1" x14ac:dyDescent="0.25"/>
    <row r="44" spans="2:6" ht="14.25" hidden="1" customHeight="1" x14ac:dyDescent="0.25"/>
    <row r="45" spans="2:6" ht="14.25" hidden="1" customHeight="1" x14ac:dyDescent="0.25"/>
    <row r="46" spans="2:6" ht="14.25" hidden="1" customHeight="1" x14ac:dyDescent="0.25"/>
    <row r="47" spans="2:6" ht="24" hidden="1" customHeight="1" x14ac:dyDescent="0.25"/>
    <row r="48" spans="2:6" ht="14.25" hidden="1" customHeight="1" x14ac:dyDescent="0.25"/>
    <row r="49" ht="14.25" hidden="1" customHeight="1" x14ac:dyDescent="0.25"/>
    <row r="50" ht="14.25" hidden="1" customHeight="1" x14ac:dyDescent="0.25"/>
    <row r="51" ht="24.75" hidden="1" customHeight="1" x14ac:dyDescent="0.25"/>
    <row r="52" ht="14.25" hidden="1" customHeight="1" x14ac:dyDescent="0.25"/>
    <row r="53" ht="24" hidden="1" customHeight="1" x14ac:dyDescent="0.25"/>
    <row r="54" ht="14.25" hidden="1" customHeight="1" x14ac:dyDescent="0.25"/>
    <row r="55" ht="14.25" hidden="1" customHeight="1" x14ac:dyDescent="0.25"/>
    <row r="56" ht="14.25" hidden="1" customHeight="1" x14ac:dyDescent="0.25"/>
  </sheetData>
  <sheetProtection algorithmName="SHA-512" hashValue="+T1v2l0gO1t7ThXoR60ECPmHwYQP+TvXuy7aWBX3ge73P2ZiSkTLM6VLF+rhkiTK+F1bK7pjk557M6IQay+dYg==" saltValue="Go7sCLIt8/bbuGgQjlRHSw==" spinCount="100000" sheet="1" objects="1" scenarios="1" formatCells="0" insertHyperlinks="0" selectLockedCells="1"/>
  <mergeCells count="9">
    <mergeCell ref="A32:C32"/>
    <mergeCell ref="H26:I26"/>
    <mergeCell ref="H28:J28"/>
    <mergeCell ref="A26:B26"/>
    <mergeCell ref="A1:K1"/>
    <mergeCell ref="A2:K2"/>
    <mergeCell ref="A5:D5"/>
    <mergeCell ref="H5:K5"/>
    <mergeCell ref="A28:C28"/>
  </mergeCells>
  <conditionalFormatting sqref="C29">
    <cfRule type="cellIs" dxfId="24" priority="3" operator="notEqual">
      <formula>0</formula>
    </cfRule>
  </conditionalFormatting>
  <conditionalFormatting sqref="C35">
    <cfRule type="containsText" dxfId="23" priority="4" operator="containsText" text="תואם ✓">
      <formula>NOT(ISERROR(SEARCH("תואם ✓",C35)))</formula>
    </cfRule>
    <cfRule type="containsText" dxfId="22" priority="5" operator="containsText" text="אי-התאמה">
      <formula>NOT(ISERROR(SEARCH("אי-התאמה",C35)))</formula>
    </cfRule>
  </conditionalFormatting>
  <conditionalFormatting sqref="J29">
    <cfRule type="containsText" dxfId="21" priority="1" operator="containsText" text="מאוזן ✓">
      <formula>NOT(ISERROR(SEARCH("מאוזן ✓",J29)))</formula>
    </cfRule>
    <cfRule type="containsText" dxfId="20" priority="2" operator="containsText" text="אינו">
      <formula>NOT(ISERROR(SEARCH("אינו",J29)))</formula>
    </cfRule>
  </conditionalFormatting>
  <hyperlinks>
    <hyperlink ref="M1" location="'1. מדריך והנחיות'!A1" display="⌂  שלב 1 — מדריך והנחיות" xr:uid="{00000000-0004-0000-0300-000000000000}"/>
    <hyperlink ref="M2" location="'2.2 מבנה החזקות'!A1" display="→  הקודם: 2.2 מבנה החזקות" xr:uid="{00000000-0004-0000-0300-000001000000}"/>
    <hyperlink ref="M3" location="'2.4 הכנסות והוצאות'!A1" display="הבא: 2.4 הכנסות והוצאות  ←" xr:uid="{00000000-0004-0000-0300-000002000000}"/>
  </hyperlinks>
  <pageMargins left="0.7" right="0.7" top="0.75" bottom="0.75" header="0.511811023622047" footer="0.511811023622047"/>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32"/>
  <sheetViews>
    <sheetView showGridLines="0" rightToLeft="1" zoomScaleNormal="100" workbookViewId="0">
      <selection activeCell="G1" sqref="G1"/>
    </sheetView>
  </sheetViews>
  <sheetFormatPr defaultColWidth="0" defaultRowHeight="15" zeroHeight="1" x14ac:dyDescent="0.25"/>
  <cols>
    <col min="1" max="1" width="6" style="42" customWidth="1"/>
    <col min="2" max="2" width="45.140625" style="42" customWidth="1"/>
    <col min="3" max="4" width="18" style="42" customWidth="1"/>
    <col min="5" max="5" width="28" style="42" customWidth="1"/>
    <col min="6" max="6" width="1.7109375" style="42" customWidth="1"/>
    <col min="7" max="7" width="80.7109375" style="42" customWidth="1"/>
    <col min="8" max="8" width="1.7109375" style="42" customWidth="1"/>
    <col min="9" max="9" width="0" style="42" hidden="1" customWidth="1"/>
    <col min="10" max="16384" width="8.7109375" style="42" hidden="1"/>
  </cols>
  <sheetData>
    <row r="1" spans="1:7" ht="31.5" customHeight="1" x14ac:dyDescent="0.25">
      <c r="A1" s="366" t="s">
        <v>409</v>
      </c>
      <c r="B1" s="366"/>
      <c r="C1" s="366"/>
      <c r="D1" s="366"/>
      <c r="E1" s="366"/>
      <c r="G1" s="330" t="s">
        <v>413</v>
      </c>
    </row>
    <row r="2" spans="1:7" ht="21.75" customHeight="1" x14ac:dyDescent="0.25">
      <c r="A2" s="400" t="s">
        <v>78</v>
      </c>
      <c r="B2" s="400"/>
      <c r="C2" s="400"/>
      <c r="D2" s="400"/>
      <c r="E2" s="400"/>
      <c r="G2" s="331" t="s">
        <v>418</v>
      </c>
    </row>
    <row r="3" spans="1:7" ht="21.75" customHeight="1" x14ac:dyDescent="0.25">
      <c r="A3" s="374" t="s">
        <v>267</v>
      </c>
      <c r="B3" s="374"/>
      <c r="C3" s="374"/>
      <c r="D3" s="374"/>
      <c r="E3" s="374"/>
      <c r="G3" s="329" t="s">
        <v>419</v>
      </c>
    </row>
    <row r="4" spans="1:7" s="130" customFormat="1" ht="21.75" customHeight="1" x14ac:dyDescent="0.25">
      <c r="B4" s="401" t="s">
        <v>268</v>
      </c>
      <c r="C4" s="402"/>
      <c r="D4" s="401" t="s">
        <v>269</v>
      </c>
      <c r="E4" s="403"/>
    </row>
    <row r="5" spans="1:7" ht="21.75" customHeight="1" x14ac:dyDescent="0.25">
      <c r="B5" s="404" t="s">
        <v>263</v>
      </c>
      <c r="C5" s="405"/>
      <c r="D5" s="406" t="s">
        <v>264</v>
      </c>
      <c r="E5" s="407"/>
    </row>
    <row r="6" spans="1:7" ht="21.75" customHeight="1" x14ac:dyDescent="0.25">
      <c r="B6" s="404"/>
      <c r="C6" s="405"/>
      <c r="D6" s="406"/>
      <c r="E6" s="407"/>
    </row>
    <row r="7" spans="1:7" ht="21.75" customHeight="1" x14ac:dyDescent="0.25">
      <c r="B7" s="404"/>
      <c r="C7" s="405"/>
      <c r="D7" s="406"/>
      <c r="E7" s="407"/>
    </row>
    <row r="8" spans="1:7" ht="21.75" customHeight="1" x14ac:dyDescent="0.25">
      <c r="B8" s="404"/>
      <c r="C8" s="405"/>
      <c r="D8" s="406"/>
      <c r="E8" s="407"/>
    </row>
    <row r="9" spans="1:7" ht="21.75" customHeight="1" x14ac:dyDescent="0.25">
      <c r="B9" s="408" t="s">
        <v>265</v>
      </c>
      <c r="C9" s="409"/>
      <c r="D9" s="408" t="s">
        <v>266</v>
      </c>
      <c r="E9" s="410"/>
    </row>
    <row r="10" spans="1:7" ht="21.75" customHeight="1" x14ac:dyDescent="0.25"/>
    <row r="11" spans="1:7" ht="21.75" customHeight="1" x14ac:dyDescent="0.25">
      <c r="B11" s="411" t="s">
        <v>270</v>
      </c>
      <c r="C11" s="412"/>
      <c r="D11" s="412"/>
      <c r="E11" s="413"/>
    </row>
    <row r="12" spans="1:7" ht="21.75" customHeight="1" x14ac:dyDescent="0.25">
      <c r="B12" s="414"/>
      <c r="C12" s="415"/>
      <c r="D12" s="415"/>
      <c r="E12" s="416"/>
    </row>
    <row r="13" spans="1:7" ht="8.1" customHeight="1" x14ac:dyDescent="0.25"/>
    <row r="14" spans="1:7" ht="8.1" customHeight="1" thickBot="1" x14ac:dyDescent="0.3"/>
    <row r="15" spans="1:7" ht="24" customHeight="1" thickBot="1" x14ac:dyDescent="0.3">
      <c r="A15" s="87"/>
      <c r="B15" s="87" t="s">
        <v>33</v>
      </c>
      <c r="C15" s="87" t="s">
        <v>79</v>
      </c>
      <c r="D15" s="87" t="s">
        <v>80</v>
      </c>
      <c r="E15" s="87" t="s">
        <v>35</v>
      </c>
      <c r="G15" s="267" t="s">
        <v>498</v>
      </c>
    </row>
    <row r="16" spans="1:7" ht="14.25" customHeight="1" x14ac:dyDescent="0.25">
      <c r="A16" s="88">
        <v>1</v>
      </c>
      <c r="B16" s="46" t="s">
        <v>81</v>
      </c>
      <c r="C16" s="264"/>
      <c r="D16" s="264"/>
      <c r="E16" s="86"/>
      <c r="G16" s="258"/>
    </row>
    <row r="17" spans="1:7" ht="14.25" customHeight="1" x14ac:dyDescent="0.25">
      <c r="A17" s="88">
        <v>2</v>
      </c>
      <c r="B17" s="46" t="s">
        <v>82</v>
      </c>
      <c r="C17" s="264"/>
      <c r="D17" s="264"/>
      <c r="E17" s="86"/>
      <c r="G17" s="258"/>
    </row>
    <row r="18" spans="1:7" ht="14.25" customHeight="1" x14ac:dyDescent="0.25">
      <c r="A18" s="88">
        <v>3</v>
      </c>
      <c r="B18" s="46" t="s">
        <v>83</v>
      </c>
      <c r="C18" s="264"/>
      <c r="D18" s="264"/>
      <c r="E18" s="86"/>
      <c r="G18" s="258"/>
    </row>
    <row r="19" spans="1:7" ht="14.25" customHeight="1" x14ac:dyDescent="0.25">
      <c r="A19" s="88">
        <v>4</v>
      </c>
      <c r="B19" s="46" t="s">
        <v>84</v>
      </c>
      <c r="C19" s="264"/>
      <c r="D19" s="264"/>
      <c r="E19" s="86"/>
      <c r="G19" s="258"/>
    </row>
    <row r="20" spans="1:7" ht="14.25" customHeight="1" x14ac:dyDescent="0.25">
      <c r="A20" s="88">
        <v>5</v>
      </c>
      <c r="B20" s="46" t="s">
        <v>85</v>
      </c>
      <c r="C20" s="264"/>
      <c r="D20" s="264"/>
      <c r="E20" s="86"/>
      <c r="G20" s="258"/>
    </row>
    <row r="21" spans="1:7" ht="14.25" customHeight="1" x14ac:dyDescent="0.25">
      <c r="A21" s="88">
        <v>6</v>
      </c>
      <c r="B21" s="46" t="s">
        <v>86</v>
      </c>
      <c r="C21" s="264"/>
      <c r="D21" s="264"/>
      <c r="E21" s="86"/>
      <c r="G21" s="258"/>
    </row>
    <row r="22" spans="1:7" ht="14.25" customHeight="1" x14ac:dyDescent="0.25">
      <c r="A22" s="88">
        <v>7</v>
      </c>
      <c r="B22" s="46" t="s">
        <v>87</v>
      </c>
      <c r="C22" s="264"/>
      <c r="D22" s="264"/>
      <c r="E22" s="86"/>
      <c r="G22" s="258"/>
    </row>
    <row r="23" spans="1:7" ht="14.25" customHeight="1" x14ac:dyDescent="0.25">
      <c r="A23" s="88">
        <v>8</v>
      </c>
      <c r="B23" s="46" t="s">
        <v>88</v>
      </c>
      <c r="C23" s="264"/>
      <c r="D23" s="264"/>
      <c r="E23" s="86"/>
      <c r="G23" s="258"/>
    </row>
    <row r="24" spans="1:7" ht="14.25" customHeight="1" x14ac:dyDescent="0.25">
      <c r="A24" s="88">
        <v>9</v>
      </c>
      <c r="B24" s="46" t="s">
        <v>89</v>
      </c>
      <c r="C24" s="264"/>
      <c r="D24" s="264"/>
      <c r="E24" s="86"/>
      <c r="G24" s="258"/>
    </row>
    <row r="25" spans="1:7" ht="14.25" customHeight="1" x14ac:dyDescent="0.25">
      <c r="A25" s="43"/>
      <c r="B25" s="44" t="s">
        <v>90</v>
      </c>
      <c r="C25" s="265">
        <f>C16+C22+C24</f>
        <v>0</v>
      </c>
      <c r="D25" s="265">
        <f>D16+D22+D24</f>
        <v>0</v>
      </c>
      <c r="E25" s="43"/>
    </row>
    <row r="26" spans="1:7" ht="14.25" customHeight="1" x14ac:dyDescent="0.25">
      <c r="A26" s="43"/>
      <c r="B26" s="44" t="s">
        <v>91</v>
      </c>
      <c r="C26" s="265">
        <f>C17+C18+C19+C20+C21+C23</f>
        <v>0</v>
      </c>
      <c r="D26" s="265">
        <f>D17+D18+D19+D20+D21+D23</f>
        <v>0</v>
      </c>
      <c r="E26" s="43"/>
    </row>
    <row r="27" spans="1:7" ht="14.25" customHeight="1" x14ac:dyDescent="0.25">
      <c r="A27" s="43"/>
      <c r="B27" s="44" t="s">
        <v>92</v>
      </c>
      <c r="C27" s="265">
        <f>C25-C26</f>
        <v>0</v>
      </c>
      <c r="D27" s="265">
        <f>D25-D26</f>
        <v>0</v>
      </c>
      <c r="E27" s="43"/>
    </row>
    <row r="28" spans="1:7" ht="14.25" customHeight="1" x14ac:dyDescent="0.25">
      <c r="A28" s="43"/>
      <c r="B28" s="43"/>
      <c r="C28" s="43"/>
      <c r="D28" s="43"/>
      <c r="E28" s="43"/>
    </row>
    <row r="29" spans="1:7" ht="24" customHeight="1" x14ac:dyDescent="0.25">
      <c r="A29" s="365" t="s">
        <v>93</v>
      </c>
      <c r="B29" s="365"/>
      <c r="C29" s="365"/>
      <c r="D29" s="365"/>
      <c r="E29" s="365"/>
    </row>
    <row r="30" spans="1:7" ht="15" customHeight="1" x14ac:dyDescent="0.25">
      <c r="A30" s="43"/>
      <c r="B30" s="46" t="s">
        <v>94</v>
      </c>
      <c r="C30" s="89"/>
      <c r="E30" s="43"/>
      <c r="G30" s="258"/>
    </row>
    <row r="31" spans="1:7" ht="14.25" customHeight="1" x14ac:dyDescent="0.25">
      <c r="A31" s="43"/>
      <c r="B31" s="46" t="s">
        <v>95</v>
      </c>
      <c r="C31" s="90"/>
      <c r="E31" s="43"/>
      <c r="G31" s="258"/>
    </row>
    <row r="32" spans="1:7" ht="12" customHeight="1" x14ac:dyDescent="0.25"/>
  </sheetData>
  <sheetProtection algorithmName="SHA-512" hashValue="0vKYfNSAA4ZjCQXvqfMbn8GwOlb74GZhJPbdFGwOOf+0Nzrm5YZqprA8GslBPvdl/AHcAFniFNWZle4mYAiCoQ==" saltValue="HKAyhxfsn/mPpAwu3Rh/Xg==" spinCount="100000" sheet="1" objects="1" scenarios="1" formatCells="0" insertHyperlinks="0" selectLockedCells="1"/>
  <mergeCells count="11">
    <mergeCell ref="A1:E1"/>
    <mergeCell ref="A2:E2"/>
    <mergeCell ref="A29:E29"/>
    <mergeCell ref="A3:E3"/>
    <mergeCell ref="B4:C4"/>
    <mergeCell ref="D4:E4"/>
    <mergeCell ref="B5:C8"/>
    <mergeCell ref="D5:E8"/>
    <mergeCell ref="B9:C9"/>
    <mergeCell ref="D9:E9"/>
    <mergeCell ref="B11:E12"/>
  </mergeCells>
  <dataValidations disablePrompts="1" count="1">
    <dataValidation type="list" sqref="C30" xr:uid="{00000000-0002-0000-0400-000000000000}">
      <formula1>"כן,לא"</formula1>
      <formula2>0</formula2>
    </dataValidation>
  </dataValidations>
  <hyperlinks>
    <hyperlink ref="G1" location="'1. מדריך והנחיות'!A1" display="⌂  שלב 1 — מדריך והנחיות" xr:uid="{00000000-0004-0000-0400-000000000000}"/>
    <hyperlink ref="G2" location="'2.3 מצב כספי'!A1" display="→  הקודם: 2.3 מצב כספי" xr:uid="{00000000-0004-0000-0400-000001000000}"/>
    <hyperlink ref="G3" location="'2.5 עלויות מו״פ שהוונו'!A1" display="הבא: 2.5 עלויות מו״פ שהוונו  ←" xr:uid="{00000000-0004-0000-0400-000002000000}"/>
  </hyperlinks>
  <pageMargins left="0.7" right="0.7" top="0.75" bottom="0.75"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24"/>
  <sheetViews>
    <sheetView showGridLines="0" rightToLeft="1" zoomScaleNormal="100" workbookViewId="0">
      <selection activeCell="F1" sqref="F1"/>
    </sheetView>
  </sheetViews>
  <sheetFormatPr defaultColWidth="0" defaultRowHeight="15" zeroHeight="1" x14ac:dyDescent="0.25"/>
  <cols>
    <col min="1" max="1" width="5" style="42" customWidth="1"/>
    <col min="2" max="2" width="38" style="42" customWidth="1"/>
    <col min="3" max="3" width="18" style="42" customWidth="1"/>
    <col min="4" max="4" width="28" style="42" customWidth="1"/>
    <col min="5" max="5" width="1.7109375" style="42" customWidth="1"/>
    <col min="6" max="6" width="80.7109375" style="42" customWidth="1"/>
    <col min="7" max="7" width="1.7109375" style="42" customWidth="1"/>
    <col min="8" max="9" width="1.7109375" style="42" hidden="1" customWidth="1"/>
    <col min="10" max="16384" width="8.7109375" style="42" hidden="1"/>
  </cols>
  <sheetData>
    <row r="1" spans="1:6" ht="31.5" customHeight="1" x14ac:dyDescent="0.25">
      <c r="A1" s="366" t="s">
        <v>410</v>
      </c>
      <c r="B1" s="366"/>
      <c r="C1" s="366"/>
      <c r="D1" s="366"/>
      <c r="F1" s="330" t="s">
        <v>413</v>
      </c>
    </row>
    <row r="2" spans="1:6" ht="20.100000000000001" customHeight="1" x14ac:dyDescent="0.25">
      <c r="A2" s="417" t="s">
        <v>271</v>
      </c>
      <c r="B2" s="417"/>
      <c r="C2" s="417"/>
      <c r="D2" s="417"/>
      <c r="F2" s="331" t="s">
        <v>420</v>
      </c>
    </row>
    <row r="3" spans="1:6" s="124" customFormat="1" ht="20.100000000000001" customHeight="1" x14ac:dyDescent="0.25">
      <c r="A3" s="93"/>
      <c r="B3" s="93"/>
      <c r="C3" s="93"/>
      <c r="D3" s="93"/>
      <c r="F3" s="329" t="s">
        <v>421</v>
      </c>
    </row>
    <row r="4" spans="1:6" ht="15" customHeight="1" thickBot="1" x14ac:dyDescent="0.3">
      <c r="A4" s="43"/>
      <c r="B4" s="43"/>
      <c r="C4" s="43"/>
      <c r="D4" s="43"/>
      <c r="E4" s="43"/>
      <c r="F4" s="43"/>
    </row>
    <row r="5" spans="1:6" ht="20.100000000000001" customHeight="1" thickBot="1" x14ac:dyDescent="0.3">
      <c r="A5" s="43"/>
      <c r="B5" s="43"/>
      <c r="C5" s="43"/>
      <c r="D5" s="43"/>
      <c r="E5" s="43"/>
      <c r="F5" s="267" t="s">
        <v>498</v>
      </c>
    </row>
    <row r="6" spans="1:6" ht="15" customHeight="1" x14ac:dyDescent="0.25">
      <c r="A6" s="43"/>
      <c r="B6" s="44" t="s">
        <v>272</v>
      </c>
      <c r="C6" s="266"/>
      <c r="D6" s="43"/>
      <c r="F6" s="258"/>
    </row>
    <row r="7" spans="1:6" ht="14.25" customHeight="1" x14ac:dyDescent="0.25">
      <c r="A7" s="43"/>
      <c r="B7" s="288" t="str">
        <f>IF($C$6="כן","","🔒 לא הוונו עלויות מו""פ לנכס — הסעיף סגור ואינו מוצג. לפתיחה מחדש יש לשנות את התשובה ל'כן'.")</f>
        <v>🔒 לא הוונו עלויות מו"פ לנכס — הסעיף סגור ואינו מוצג. לפתיחה מחדש יש לשנות את התשובה ל'כן'.</v>
      </c>
      <c r="C7" s="91"/>
      <c r="D7" s="91"/>
    </row>
    <row r="8" spans="1:6" ht="24" customHeight="1" x14ac:dyDescent="0.25">
      <c r="A8" s="87"/>
      <c r="B8" s="92" t="s">
        <v>96</v>
      </c>
      <c r="C8" s="87" t="s">
        <v>79</v>
      </c>
      <c r="D8" s="87" t="s">
        <v>35</v>
      </c>
    </row>
    <row r="9" spans="1:6" ht="15" customHeight="1" x14ac:dyDescent="0.25">
      <c r="A9" s="93"/>
      <c r="B9" s="46" t="s">
        <v>97</v>
      </c>
      <c r="C9" s="264"/>
      <c r="D9" s="95"/>
      <c r="F9" s="258"/>
    </row>
    <row r="10" spans="1:6" ht="15" customHeight="1" x14ac:dyDescent="0.25">
      <c r="A10" s="93"/>
      <c r="B10" s="46" t="s">
        <v>98</v>
      </c>
      <c r="C10" s="264"/>
      <c r="D10" s="95"/>
      <c r="F10" s="258"/>
    </row>
    <row r="11" spans="1:6" ht="15" customHeight="1" x14ac:dyDescent="0.25">
      <c r="A11" s="93"/>
      <c r="B11" s="46" t="s">
        <v>99</v>
      </c>
      <c r="C11" s="264"/>
      <c r="D11" s="95"/>
      <c r="F11" s="258"/>
    </row>
    <row r="12" spans="1:6" ht="15" customHeight="1" x14ac:dyDescent="0.25">
      <c r="A12" s="93"/>
      <c r="B12" s="46" t="s">
        <v>100</v>
      </c>
      <c r="C12" s="264"/>
      <c r="D12" s="95"/>
      <c r="F12" s="258"/>
    </row>
    <row r="13" spans="1:6" ht="15" customHeight="1" x14ac:dyDescent="0.25">
      <c r="A13" s="93"/>
      <c r="B13" s="44" t="s">
        <v>101</v>
      </c>
      <c r="C13" s="265">
        <f>IF($C$6&lt;&gt;"כן",0,C9+C10-C11-C12)</f>
        <v>0</v>
      </c>
      <c r="D13" s="94"/>
    </row>
    <row r="14" spans="1:6" ht="14.25" customHeight="1" x14ac:dyDescent="0.25">
      <c r="A14" s="93"/>
      <c r="B14" s="43"/>
      <c r="C14" s="43"/>
      <c r="D14" s="43"/>
    </row>
    <row r="15" spans="1:6" ht="24" customHeight="1" x14ac:dyDescent="0.25">
      <c r="A15" s="365" t="s">
        <v>273</v>
      </c>
      <c r="B15" s="365"/>
      <c r="C15" s="365"/>
      <c r="D15" s="365"/>
    </row>
    <row r="16" spans="1:6" ht="24" customHeight="1" x14ac:dyDescent="0.25">
      <c r="A16" s="87"/>
      <c r="B16" s="92" t="s">
        <v>33</v>
      </c>
      <c r="C16" s="87" t="s">
        <v>79</v>
      </c>
      <c r="D16" s="87" t="s">
        <v>35</v>
      </c>
    </row>
    <row r="17" spans="1:6" ht="15" customHeight="1" x14ac:dyDescent="0.25">
      <c r="A17" s="93"/>
      <c r="B17" s="46" t="s">
        <v>102</v>
      </c>
      <c r="C17" s="264"/>
      <c r="D17" s="95"/>
      <c r="F17" s="258"/>
    </row>
    <row r="18" spans="1:6" ht="15" customHeight="1" x14ac:dyDescent="0.25">
      <c r="A18" s="93"/>
      <c r="B18" s="46" t="s">
        <v>103</v>
      </c>
      <c r="C18" s="264"/>
      <c r="D18" s="95"/>
      <c r="F18" s="258"/>
    </row>
    <row r="19" spans="1:6" ht="15" customHeight="1" x14ac:dyDescent="0.25">
      <c r="A19" s="93"/>
      <c r="B19" s="46" t="s">
        <v>104</v>
      </c>
      <c r="C19" s="264"/>
      <c r="D19" s="95"/>
      <c r="F19" s="258"/>
    </row>
    <row r="20" spans="1:6" ht="15" customHeight="1" x14ac:dyDescent="0.25">
      <c r="A20" s="93"/>
      <c r="B20" s="46" t="s">
        <v>105</v>
      </c>
      <c r="C20" s="264"/>
      <c r="D20" s="95"/>
      <c r="F20" s="258"/>
    </row>
    <row r="21" spans="1:6" ht="15" customHeight="1" x14ac:dyDescent="0.25">
      <c r="A21" s="93"/>
      <c r="B21" s="46" t="s">
        <v>106</v>
      </c>
      <c r="C21" s="264"/>
      <c r="D21" s="95"/>
      <c r="F21" s="258"/>
    </row>
    <row r="22" spans="1:6" ht="15" customHeight="1" x14ac:dyDescent="0.25">
      <c r="A22" s="93"/>
      <c r="B22" s="44" t="s">
        <v>107</v>
      </c>
      <c r="C22" s="265">
        <f>IF($C$6&lt;&gt;"כן",0,SUM(C17,C18,C19,C20,C21))</f>
        <v>0</v>
      </c>
      <c r="D22" s="94"/>
    </row>
    <row r="23" spans="1:6" x14ac:dyDescent="0.25"/>
    <row r="24" spans="1:6" x14ac:dyDescent="0.25"/>
  </sheetData>
  <sheetProtection algorithmName="SHA-512" hashValue="zC9LEHSg+qHzs7IBOeZLsseDzlhhRzfVskrDu4D09sfKBs0H5eKGYOnTsXOXxhdD2g5Y/3QypRxYUuxqnhE35w==" saltValue="i3uJmSPeAdilazKqx6QalQ==" spinCount="100000" sheet="1" objects="1" scenarios="1" formatCells="0" insertHyperlinks="0" selectLockedCells="1"/>
  <mergeCells count="3">
    <mergeCell ref="A1:D1"/>
    <mergeCell ref="A2:D2"/>
    <mergeCell ref="A15:D15"/>
  </mergeCells>
  <conditionalFormatting sqref="A8:F22">
    <cfRule type="expression" dxfId="19" priority="1">
      <formula>$C$6&lt;&gt;"כן"</formula>
    </cfRule>
  </conditionalFormatting>
  <dataValidations count="1">
    <dataValidation type="list" sqref="C6" xr:uid="{00000000-0002-0000-0500-000000000000}">
      <formula1>"כן,לא"</formula1>
      <formula2>0</formula2>
    </dataValidation>
  </dataValidations>
  <hyperlinks>
    <hyperlink ref="F1" location="'1. מדריך והנחיות'!A1" display="⌂  שלב 1 — מדריך והנחיות" xr:uid="{00000000-0004-0000-0500-000000000000}"/>
    <hyperlink ref="F2" location="'2.4 הכנסות והוצאות'!A1" display="→  הקודם: 2.4 הכנסות והוצאות" xr:uid="{00000000-0004-0000-0500-000001000000}"/>
    <hyperlink ref="F3" location="'2.6 מו״פ וישראל'!A1" display="הבא: 2.6 מו״פ וישראל  ←" xr:uid="{00000000-0004-0000-0500-000002000000}"/>
  </hyperlinks>
  <pageMargins left="0.7" right="0.7" top="0.75" bottom="0.75" header="0.511811023622047" footer="0.511811023622047"/>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27"/>
  <sheetViews>
    <sheetView showGridLines="0" rightToLeft="1" zoomScaleNormal="100" workbookViewId="0">
      <selection activeCell="H1" sqref="H1"/>
    </sheetView>
  </sheetViews>
  <sheetFormatPr defaultColWidth="0" defaultRowHeight="15" zeroHeight="1" x14ac:dyDescent="0.25"/>
  <cols>
    <col min="1" max="1" width="60" style="42" customWidth="1"/>
    <col min="2" max="6" width="22.7109375" style="42" customWidth="1"/>
    <col min="7" max="7" width="1.7109375" style="42" customWidth="1"/>
    <col min="8" max="8" width="80.7109375" style="42" customWidth="1"/>
    <col min="9" max="9" width="1.7109375" style="42" customWidth="1"/>
    <col min="10" max="10" width="0" style="42" hidden="1" customWidth="1"/>
    <col min="11" max="16384" width="8.7109375" style="42" hidden="1"/>
  </cols>
  <sheetData>
    <row r="1" spans="1:8" ht="31.5" customHeight="1" x14ac:dyDescent="0.25">
      <c r="A1" s="366" t="s">
        <v>492</v>
      </c>
      <c r="B1" s="366"/>
      <c r="C1" s="366"/>
      <c r="D1" s="366"/>
      <c r="E1" s="366"/>
      <c r="F1" s="366"/>
      <c r="H1" s="330" t="s">
        <v>413</v>
      </c>
    </row>
    <row r="2" spans="1:8" ht="21.75" customHeight="1" x14ac:dyDescent="0.25">
      <c r="A2" s="417" t="s">
        <v>108</v>
      </c>
      <c r="B2" s="417"/>
      <c r="C2" s="417"/>
      <c r="D2" s="417"/>
      <c r="E2" s="417"/>
      <c r="F2" s="417"/>
      <c r="H2" s="331" t="s">
        <v>422</v>
      </c>
    </row>
    <row r="3" spans="1:8" ht="14.25" customHeight="1" x14ac:dyDescent="0.25">
      <c r="A3" s="43"/>
      <c r="B3" s="43"/>
      <c r="C3" s="43"/>
      <c r="D3" s="43"/>
      <c r="E3" s="43"/>
      <c r="F3" s="43"/>
      <c r="G3" s="43"/>
      <c r="H3" s="388" t="s">
        <v>423</v>
      </c>
    </row>
    <row r="4" spans="1:8" ht="14.25" customHeight="1" x14ac:dyDescent="0.25">
      <c r="A4" s="43"/>
      <c r="B4" s="43"/>
      <c r="C4" s="43"/>
      <c r="D4" s="43"/>
      <c r="E4" s="43"/>
      <c r="F4" s="43"/>
      <c r="G4" s="43"/>
      <c r="H4" s="388"/>
    </row>
    <row r="5" spans="1:8" ht="14.25" customHeight="1" thickBot="1" x14ac:dyDescent="0.3">
      <c r="A5" s="43"/>
      <c r="B5" s="43"/>
      <c r="C5" s="43"/>
      <c r="D5" s="43"/>
      <c r="E5" s="43"/>
      <c r="F5" s="43"/>
      <c r="G5" s="43"/>
      <c r="H5" s="43"/>
    </row>
    <row r="6" spans="1:8" ht="38.1" customHeight="1" thickBot="1" x14ac:dyDescent="0.3">
      <c r="A6" s="49" t="s">
        <v>109</v>
      </c>
      <c r="B6" s="49" t="s">
        <v>274</v>
      </c>
      <c r="C6" s="49" t="s">
        <v>275</v>
      </c>
      <c r="D6" s="49" t="s">
        <v>276</v>
      </c>
      <c r="E6" s="49" t="s">
        <v>277</v>
      </c>
      <c r="F6" s="49" t="s">
        <v>278</v>
      </c>
      <c r="H6" s="267" t="s">
        <v>498</v>
      </c>
    </row>
    <row r="7" spans="1:8" ht="21.95" customHeight="1" x14ac:dyDescent="0.25">
      <c r="A7" s="97" t="s">
        <v>110</v>
      </c>
      <c r="B7" s="228"/>
      <c r="C7" s="228"/>
      <c r="D7" s="321">
        <f t="shared" ref="D7:D19" si="0">B7-C7</f>
        <v>0</v>
      </c>
      <c r="E7" s="228"/>
      <c r="F7" s="321">
        <f t="shared" ref="F7:F19" si="1">B7-E7</f>
        <v>0</v>
      </c>
      <c r="H7" s="258"/>
    </row>
    <row r="8" spans="1:8" ht="21.95" customHeight="1" x14ac:dyDescent="0.25">
      <c r="A8" s="97" t="s">
        <v>111</v>
      </c>
      <c r="B8" s="228"/>
      <c r="C8" s="228"/>
      <c r="D8" s="321">
        <f t="shared" si="0"/>
        <v>0</v>
      </c>
      <c r="E8" s="228"/>
      <c r="F8" s="321">
        <f t="shared" si="1"/>
        <v>0</v>
      </c>
      <c r="H8" s="258"/>
    </row>
    <row r="9" spans="1:8" ht="21.95" customHeight="1" x14ac:dyDescent="0.25">
      <c r="A9" s="97" t="s">
        <v>112</v>
      </c>
      <c r="B9" s="228"/>
      <c r="C9" s="228"/>
      <c r="D9" s="321">
        <f t="shared" si="0"/>
        <v>0</v>
      </c>
      <c r="E9" s="228"/>
      <c r="F9" s="321">
        <f t="shared" si="1"/>
        <v>0</v>
      </c>
      <c r="H9" s="258"/>
    </row>
    <row r="10" spans="1:8" ht="21.95" customHeight="1" x14ac:dyDescent="0.25">
      <c r="A10" s="97" t="s">
        <v>113</v>
      </c>
      <c r="B10" s="228"/>
      <c r="C10" s="228"/>
      <c r="D10" s="321">
        <f t="shared" si="0"/>
        <v>0</v>
      </c>
      <c r="E10" s="228"/>
      <c r="F10" s="321">
        <f t="shared" si="1"/>
        <v>0</v>
      </c>
      <c r="H10" s="258"/>
    </row>
    <row r="11" spans="1:8" ht="21.95" customHeight="1" x14ac:dyDescent="0.25">
      <c r="A11" s="97" t="s">
        <v>114</v>
      </c>
      <c r="B11" s="228"/>
      <c r="C11" s="228"/>
      <c r="D11" s="321">
        <f t="shared" si="0"/>
        <v>0</v>
      </c>
      <c r="E11" s="228"/>
      <c r="F11" s="321">
        <f t="shared" si="1"/>
        <v>0</v>
      </c>
      <c r="H11" s="258"/>
    </row>
    <row r="12" spans="1:8" ht="21.95" customHeight="1" x14ac:dyDescent="0.25">
      <c r="A12" s="97" t="s">
        <v>115</v>
      </c>
      <c r="B12" s="228"/>
      <c r="C12" s="228"/>
      <c r="D12" s="321">
        <f t="shared" si="0"/>
        <v>0</v>
      </c>
      <c r="E12" s="228"/>
      <c r="F12" s="321">
        <f t="shared" si="1"/>
        <v>0</v>
      </c>
      <c r="H12" s="258"/>
    </row>
    <row r="13" spans="1:8" ht="21.95" customHeight="1" x14ac:dyDescent="0.25">
      <c r="A13" s="97" t="s">
        <v>116</v>
      </c>
      <c r="B13" s="228"/>
      <c r="C13" s="228"/>
      <c r="D13" s="321">
        <f t="shared" si="0"/>
        <v>0</v>
      </c>
      <c r="E13" s="228"/>
      <c r="F13" s="321">
        <f t="shared" si="1"/>
        <v>0</v>
      </c>
      <c r="H13" s="258"/>
    </row>
    <row r="14" spans="1:8" ht="21.95" customHeight="1" x14ac:dyDescent="0.25">
      <c r="A14" s="97" t="s">
        <v>117</v>
      </c>
      <c r="B14" s="228"/>
      <c r="C14" s="228"/>
      <c r="D14" s="321">
        <f t="shared" si="0"/>
        <v>0</v>
      </c>
      <c r="E14" s="228"/>
      <c r="F14" s="321">
        <f t="shared" si="1"/>
        <v>0</v>
      </c>
      <c r="H14" s="258"/>
    </row>
    <row r="15" spans="1:8" ht="21.95" customHeight="1" x14ac:dyDescent="0.25">
      <c r="A15" s="97" t="s">
        <v>118</v>
      </c>
      <c r="B15" s="228"/>
      <c r="C15" s="228"/>
      <c r="D15" s="321">
        <f t="shared" si="0"/>
        <v>0</v>
      </c>
      <c r="E15" s="228"/>
      <c r="F15" s="321">
        <f t="shared" si="1"/>
        <v>0</v>
      </c>
      <c r="H15" s="258"/>
    </row>
    <row r="16" spans="1:8" ht="21.95" customHeight="1" x14ac:dyDescent="0.25">
      <c r="A16" s="97" t="s">
        <v>119</v>
      </c>
      <c r="B16" s="228"/>
      <c r="C16" s="228"/>
      <c r="D16" s="321">
        <f t="shared" si="0"/>
        <v>0</v>
      </c>
      <c r="E16" s="228"/>
      <c r="F16" s="321">
        <f t="shared" si="1"/>
        <v>0</v>
      </c>
      <c r="H16" s="258"/>
    </row>
    <row r="17" spans="1:8" ht="21.95" customHeight="1" x14ac:dyDescent="0.25">
      <c r="A17" s="97" t="s">
        <v>120</v>
      </c>
      <c r="B17" s="228"/>
      <c r="C17" s="228"/>
      <c r="D17" s="321">
        <f t="shared" si="0"/>
        <v>0</v>
      </c>
      <c r="E17" s="228"/>
      <c r="F17" s="321">
        <f t="shared" si="1"/>
        <v>0</v>
      </c>
      <c r="H17" s="258"/>
    </row>
    <row r="18" spans="1:8" ht="21.95" customHeight="1" x14ac:dyDescent="0.25">
      <c r="A18" s="97" t="s">
        <v>121</v>
      </c>
      <c r="B18" s="228"/>
      <c r="C18" s="228"/>
      <c r="D18" s="321">
        <f t="shared" si="0"/>
        <v>0</v>
      </c>
      <c r="E18" s="228"/>
      <c r="F18" s="321">
        <f t="shared" si="1"/>
        <v>0</v>
      </c>
      <c r="H18" s="258"/>
    </row>
    <row r="19" spans="1:8" ht="21.95" customHeight="1" x14ac:dyDescent="0.25">
      <c r="A19" s="98" t="s">
        <v>279</v>
      </c>
      <c r="B19" s="324">
        <f>IF('2.5 עלויות מו״פ שהוונו'!$C$6="כן",'2.5 עלויות מו״פ שהוונו'!$C$10,0)</f>
        <v>0</v>
      </c>
      <c r="C19" s="324">
        <f>B19</f>
        <v>0</v>
      </c>
      <c r="D19" s="322">
        <f t="shared" si="0"/>
        <v>0</v>
      </c>
      <c r="E19" s="229"/>
      <c r="F19" s="322">
        <f t="shared" si="1"/>
        <v>0</v>
      </c>
      <c r="H19" s="258"/>
    </row>
    <row r="20" spans="1:8" ht="26.1" customHeight="1" x14ac:dyDescent="0.25">
      <c r="A20" s="99" t="s">
        <v>280</v>
      </c>
      <c r="B20" s="230">
        <f>SUM(B7:B19)</f>
        <v>0</v>
      </c>
      <c r="C20" s="230">
        <f>SUM(C7:C19)</f>
        <v>0</v>
      </c>
      <c r="D20" s="230">
        <f>SUM(D7:D19)</f>
        <v>0</v>
      </c>
      <c r="E20" s="230">
        <f>SUM(E7:E19)</f>
        <v>0</v>
      </c>
      <c r="F20" s="230">
        <f>SUM(F7:F19)</f>
        <v>0</v>
      </c>
    </row>
    <row r="21" spans="1:8" ht="9.9499999999999993" customHeight="1" x14ac:dyDescent="0.25"/>
    <row r="22" spans="1:8" ht="24" customHeight="1" x14ac:dyDescent="0.25">
      <c r="A22" s="374" t="s">
        <v>281</v>
      </c>
      <c r="B22" s="374"/>
      <c r="C22" s="374"/>
      <c r="D22" s="374"/>
      <c r="E22" s="374"/>
      <c r="F22" s="374"/>
    </row>
    <row r="23" spans="1:8" ht="24" customHeight="1" x14ac:dyDescent="0.25">
      <c r="A23" s="418" t="s">
        <v>282</v>
      </c>
      <c r="B23" s="419"/>
      <c r="C23" s="419"/>
      <c r="D23" s="418" t="s">
        <v>499</v>
      </c>
      <c r="E23" s="419"/>
      <c r="F23" s="420"/>
    </row>
    <row r="24" spans="1:8" ht="21.95" customHeight="1" x14ac:dyDescent="0.25">
      <c r="A24" s="421" t="str">
        <f>IFERROR($C$20/$B$20,"")</f>
        <v/>
      </c>
      <c r="B24" s="422"/>
      <c r="C24" s="422"/>
      <c r="D24" s="421" t="str">
        <f>IFERROR($E$20/$B$20,"")</f>
        <v/>
      </c>
      <c r="E24" s="422"/>
      <c r="F24" s="423"/>
    </row>
    <row r="25" spans="1:8" ht="21.95" customHeight="1" x14ac:dyDescent="0.25">
      <c r="A25" s="421"/>
      <c r="B25" s="422"/>
      <c r="C25" s="422"/>
      <c r="D25" s="421"/>
      <c r="E25" s="422"/>
      <c r="F25" s="423"/>
    </row>
    <row r="26" spans="1:8" ht="20.100000000000001" customHeight="1" x14ac:dyDescent="0.25">
      <c r="A26" s="424" t="str">
        <f>"הוצאות מו״פ "&amp;TEXT($C$20,"#,##0")&amp;" ₪ · סה״כ הוצאות "&amp;TEXT($B$20,"#,##0")&amp;" ₪"</f>
        <v>הוצאות מו״פ 0 ₪ · סה״כ הוצאות 0 ₪</v>
      </c>
      <c r="B26" s="425"/>
      <c r="C26" s="425"/>
      <c r="D26" s="424" t="str">
        <f>"הוצאות בישראל "&amp;TEXT($E$20,"#,##0")&amp;" ₪ · סה״כ הוצאות "&amp;TEXT($B$20,"#,##0")&amp;" ₪"</f>
        <v>הוצאות בישראל 0 ₪ · סה״כ הוצאות 0 ₪</v>
      </c>
      <c r="E26" s="426"/>
      <c r="F26" s="427"/>
    </row>
    <row r="27" spans="1:8" x14ac:dyDescent="0.25"/>
  </sheetData>
  <sheetProtection algorithmName="SHA-512" hashValue="g+w3U2oePQ8qvz4fz1zpZOtnKdHu3saLb9ZWGRsgRUwtNDWnsKQpHwz33BUMTUJWwsLHtE8xXipkmWA0jLtYzA==" saltValue="R0Eh7HrMzUo7Mi7jNoynXQ==" spinCount="100000" sheet="1" objects="1" scenarios="1" formatCells="0" insertHyperlinks="0" selectLockedCells="1"/>
  <mergeCells count="10">
    <mergeCell ref="H3:H4"/>
    <mergeCell ref="A24:C25"/>
    <mergeCell ref="D24:F25"/>
    <mergeCell ref="A26:C26"/>
    <mergeCell ref="D26:F26"/>
    <mergeCell ref="A1:F1"/>
    <mergeCell ref="A2:F2"/>
    <mergeCell ref="A22:F22"/>
    <mergeCell ref="A23:C23"/>
    <mergeCell ref="D23:F23"/>
  </mergeCells>
  <hyperlinks>
    <hyperlink ref="H1" location="'1. מדריך והנחיות'!A1" display="⌂  שלב 1 — מדריך והנחיות" xr:uid="{00000000-0004-0000-0600-000000000000}"/>
    <hyperlink ref="H2" location="'2.5 עלויות מו״פ שהוונו'!A1" display="→  הקודם: 2.5 עלויות מו״פ שהוונו" xr:uid="{00000000-0004-0000-0600-000001000000}"/>
    <hyperlink ref="H3" location="'2.7 משקיעים'!A1" display="הבא: 2.7 משקיעים  ←" xr:uid="{00000000-0004-0000-0600-000002000000}"/>
  </hyperlinks>
  <pageMargins left="0.7" right="0.7" top="0.75" bottom="0.75" header="0.511811023622047" footer="0.511811023622047"/>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39"/>
  <sheetViews>
    <sheetView showGridLines="0" rightToLeft="1" zoomScale="70" zoomScaleNormal="70" workbookViewId="0">
      <selection activeCell="J1" sqref="J1"/>
    </sheetView>
  </sheetViews>
  <sheetFormatPr defaultColWidth="0" defaultRowHeight="15" zeroHeight="1" x14ac:dyDescent="0.25"/>
  <cols>
    <col min="1" max="1" width="6.140625" style="42" customWidth="1"/>
    <col min="2" max="2" width="45.42578125" style="42" customWidth="1"/>
    <col min="3" max="3" width="21.5703125" style="42" customWidth="1"/>
    <col min="4" max="4" width="31.28515625" style="42" customWidth="1"/>
    <col min="5" max="5" width="21.85546875" style="130" customWidth="1"/>
    <col min="6" max="6" width="18.140625" style="124" customWidth="1"/>
    <col min="7" max="7" width="55.5703125" style="42" customWidth="1"/>
    <col min="8" max="8" width="65.85546875" style="42" customWidth="1"/>
    <col min="9" max="9" width="22.5703125" style="42" customWidth="1"/>
    <col min="10" max="10" width="124.5703125" style="42" customWidth="1"/>
    <col min="11" max="11" width="1.7109375" style="42" customWidth="1"/>
    <col min="12" max="12" width="100.7109375" style="42" customWidth="1"/>
    <col min="13" max="13" width="1.7109375" style="42" customWidth="1"/>
    <col min="14" max="14" width="0" style="42" hidden="1" customWidth="1"/>
    <col min="15" max="16384" width="8.7109375" style="42" hidden="1"/>
  </cols>
  <sheetData>
    <row r="1" spans="1:12" ht="30" customHeight="1" x14ac:dyDescent="0.25">
      <c r="A1" s="366" t="s">
        <v>411</v>
      </c>
      <c r="B1" s="366"/>
      <c r="C1" s="366"/>
      <c r="D1" s="366"/>
      <c r="E1" s="366"/>
      <c r="F1" s="437"/>
      <c r="G1" s="437"/>
      <c r="H1" s="100"/>
      <c r="I1" s="100"/>
      <c r="J1" s="327" t="s">
        <v>413</v>
      </c>
    </row>
    <row r="2" spans="1:12" ht="30" customHeight="1" x14ac:dyDescent="0.25">
      <c r="A2" s="438" t="s">
        <v>458</v>
      </c>
      <c r="B2" s="438"/>
      <c r="C2" s="438"/>
      <c r="D2" s="438"/>
      <c r="E2" s="438"/>
      <c r="F2" s="439"/>
      <c r="G2" s="439"/>
      <c r="H2" s="101"/>
      <c r="I2" s="101"/>
      <c r="J2" s="336" t="s">
        <v>424</v>
      </c>
    </row>
    <row r="3" spans="1:12" ht="30" customHeight="1" x14ac:dyDescent="0.25">
      <c r="A3" s="294"/>
      <c r="B3" s="289" t="s">
        <v>454</v>
      </c>
      <c r="C3" s="289"/>
      <c r="D3" s="289"/>
      <c r="E3" s="289"/>
      <c r="F3" s="295"/>
      <c r="G3" s="296"/>
      <c r="H3" s="103"/>
      <c r="I3" s="103"/>
      <c r="J3" s="337" t="s">
        <v>425</v>
      </c>
    </row>
    <row r="4" spans="1:12" ht="21.75" customHeight="1" x14ac:dyDescent="0.25">
      <c r="A4" s="294"/>
      <c r="B4" s="290" t="s">
        <v>455</v>
      </c>
      <c r="C4" s="291"/>
      <c r="D4" s="291"/>
      <c r="E4" s="291"/>
      <c r="F4" s="292"/>
      <c r="G4" s="293"/>
      <c r="H4" s="104"/>
      <c r="I4" s="104"/>
    </row>
    <row r="5" spans="1:12" ht="14.25" customHeight="1" thickBot="1" x14ac:dyDescent="0.3">
      <c r="A5" s="43"/>
      <c r="B5" s="102"/>
      <c r="C5" s="43"/>
      <c r="D5" s="43"/>
      <c r="E5" s="125"/>
      <c r="F5" s="93"/>
      <c r="G5" s="43"/>
      <c r="H5" s="43"/>
      <c r="I5" s="105"/>
      <c r="J5" s="105"/>
    </row>
    <row r="6" spans="1:12" ht="30" customHeight="1" thickBot="1" x14ac:dyDescent="0.3">
      <c r="A6" s="106" t="s">
        <v>137</v>
      </c>
      <c r="B6" s="297" t="s">
        <v>456</v>
      </c>
      <c r="C6" s="297" t="s">
        <v>457</v>
      </c>
      <c r="D6" s="297" t="s">
        <v>283</v>
      </c>
      <c r="E6" s="298" t="s">
        <v>284</v>
      </c>
      <c r="F6" s="297" t="s">
        <v>285</v>
      </c>
      <c r="G6" s="297" t="s">
        <v>286</v>
      </c>
      <c r="H6" s="297" t="s">
        <v>287</v>
      </c>
      <c r="I6" s="297" t="s">
        <v>459</v>
      </c>
      <c r="J6" s="299" t="s">
        <v>460</v>
      </c>
      <c r="L6" s="267" t="s">
        <v>498</v>
      </c>
    </row>
    <row r="7" spans="1:12" ht="45" customHeight="1" x14ac:dyDescent="0.25">
      <c r="A7" s="107">
        <v>1</v>
      </c>
      <c r="B7" s="119"/>
      <c r="C7" s="111"/>
      <c r="D7" s="111"/>
      <c r="E7" s="126"/>
      <c r="F7" s="120"/>
      <c r="G7" s="111"/>
      <c r="H7" s="111"/>
      <c r="I7" s="111"/>
      <c r="J7" s="112"/>
      <c r="L7" s="258"/>
    </row>
    <row r="8" spans="1:12" ht="45" customHeight="1" x14ac:dyDescent="0.25">
      <c r="A8" s="108">
        <v>2</v>
      </c>
      <c r="B8" s="113"/>
      <c r="C8" s="113"/>
      <c r="D8" s="113"/>
      <c r="E8" s="127"/>
      <c r="F8" s="121"/>
      <c r="G8" s="113"/>
      <c r="H8" s="113"/>
      <c r="I8" s="113"/>
      <c r="J8" s="114"/>
      <c r="L8" s="258"/>
    </row>
    <row r="9" spans="1:12" ht="45" customHeight="1" x14ac:dyDescent="0.25">
      <c r="A9" s="108">
        <v>3</v>
      </c>
      <c r="B9" s="113"/>
      <c r="C9" s="113"/>
      <c r="D9" s="113"/>
      <c r="E9" s="127"/>
      <c r="F9" s="121"/>
      <c r="G9" s="113"/>
      <c r="H9" s="113"/>
      <c r="I9" s="113"/>
      <c r="J9" s="114"/>
      <c r="L9" s="258"/>
    </row>
    <row r="10" spans="1:12" ht="45" customHeight="1" x14ac:dyDescent="0.25">
      <c r="A10" s="108">
        <v>4</v>
      </c>
      <c r="B10" s="113"/>
      <c r="C10" s="113"/>
      <c r="D10" s="113"/>
      <c r="E10" s="127"/>
      <c r="F10" s="121"/>
      <c r="G10" s="113"/>
      <c r="H10" s="113"/>
      <c r="I10" s="113"/>
      <c r="J10" s="114"/>
      <c r="L10" s="258"/>
    </row>
    <row r="11" spans="1:12" ht="45" customHeight="1" x14ac:dyDescent="0.25">
      <c r="A11" s="108">
        <v>5</v>
      </c>
      <c r="B11" s="113"/>
      <c r="C11" s="113"/>
      <c r="D11" s="113"/>
      <c r="E11" s="127"/>
      <c r="F11" s="121"/>
      <c r="G11" s="113"/>
      <c r="H11" s="113"/>
      <c r="I11" s="113"/>
      <c r="J11" s="114"/>
      <c r="L11" s="258"/>
    </row>
    <row r="12" spans="1:12" ht="45" customHeight="1" x14ac:dyDescent="0.25">
      <c r="A12" s="108">
        <v>6</v>
      </c>
      <c r="B12" s="113"/>
      <c r="C12" s="113"/>
      <c r="D12" s="113"/>
      <c r="E12" s="127"/>
      <c r="F12" s="121"/>
      <c r="G12" s="113"/>
      <c r="H12" s="113"/>
      <c r="I12" s="113"/>
      <c r="J12" s="114"/>
      <c r="L12" s="258"/>
    </row>
    <row r="13" spans="1:12" ht="45" customHeight="1" x14ac:dyDescent="0.25">
      <c r="A13" s="108">
        <v>7</v>
      </c>
      <c r="B13" s="113"/>
      <c r="C13" s="113"/>
      <c r="D13" s="113"/>
      <c r="E13" s="127"/>
      <c r="F13" s="121"/>
      <c r="G13" s="113"/>
      <c r="H13" s="113"/>
      <c r="I13" s="113"/>
      <c r="J13" s="114"/>
      <c r="L13" s="258"/>
    </row>
    <row r="14" spans="1:12" ht="45" customHeight="1" x14ac:dyDescent="0.25">
      <c r="A14" s="109">
        <v>8</v>
      </c>
      <c r="B14" s="115"/>
      <c r="C14" s="115"/>
      <c r="D14" s="115"/>
      <c r="E14" s="128"/>
      <c r="F14" s="122"/>
      <c r="G14" s="115"/>
      <c r="H14" s="115"/>
      <c r="I14" s="115"/>
      <c r="J14" s="116"/>
      <c r="L14" s="258"/>
    </row>
    <row r="15" spans="1:12" ht="45" customHeight="1" x14ac:dyDescent="0.25">
      <c r="A15" s="108">
        <v>9</v>
      </c>
      <c r="B15" s="113"/>
      <c r="C15" s="113"/>
      <c r="D15" s="113"/>
      <c r="E15" s="127"/>
      <c r="F15" s="121"/>
      <c r="G15" s="113"/>
      <c r="H15" s="113"/>
      <c r="I15" s="113"/>
      <c r="J15" s="114"/>
      <c r="L15" s="258"/>
    </row>
    <row r="16" spans="1:12" ht="45" customHeight="1" x14ac:dyDescent="0.25">
      <c r="A16" s="108">
        <v>10</v>
      </c>
      <c r="B16" s="113"/>
      <c r="C16" s="113"/>
      <c r="D16" s="113"/>
      <c r="E16" s="127"/>
      <c r="F16" s="121"/>
      <c r="G16" s="113"/>
      <c r="H16" s="113"/>
      <c r="I16" s="113"/>
      <c r="J16" s="114"/>
      <c r="L16" s="258"/>
    </row>
    <row r="17" spans="1:12" ht="45" customHeight="1" x14ac:dyDescent="0.25">
      <c r="A17" s="108">
        <v>11</v>
      </c>
      <c r="B17" s="113"/>
      <c r="C17" s="113"/>
      <c r="D17" s="113"/>
      <c r="E17" s="127"/>
      <c r="F17" s="121"/>
      <c r="G17" s="113"/>
      <c r="H17" s="113"/>
      <c r="I17" s="113"/>
      <c r="J17" s="114"/>
      <c r="L17" s="258"/>
    </row>
    <row r="18" spans="1:12" ht="45" customHeight="1" x14ac:dyDescent="0.25">
      <c r="A18" s="108">
        <v>12</v>
      </c>
      <c r="B18" s="113"/>
      <c r="C18" s="113"/>
      <c r="D18" s="113"/>
      <c r="E18" s="127"/>
      <c r="F18" s="121"/>
      <c r="G18" s="113"/>
      <c r="H18" s="113"/>
      <c r="I18" s="113"/>
      <c r="J18" s="114"/>
      <c r="L18" s="258"/>
    </row>
    <row r="19" spans="1:12" ht="45" customHeight="1" x14ac:dyDescent="0.25">
      <c r="A19" s="108">
        <v>13</v>
      </c>
      <c r="B19" s="113"/>
      <c r="C19" s="113"/>
      <c r="D19" s="113"/>
      <c r="E19" s="127"/>
      <c r="F19" s="121"/>
      <c r="G19" s="113"/>
      <c r="H19" s="113"/>
      <c r="I19" s="113"/>
      <c r="J19" s="114"/>
      <c r="L19" s="258"/>
    </row>
    <row r="20" spans="1:12" ht="45" customHeight="1" x14ac:dyDescent="0.25">
      <c r="A20" s="108">
        <v>14</v>
      </c>
      <c r="B20" s="113"/>
      <c r="C20" s="113"/>
      <c r="D20" s="113"/>
      <c r="E20" s="127"/>
      <c r="F20" s="121"/>
      <c r="G20" s="113"/>
      <c r="H20" s="113"/>
      <c r="I20" s="113"/>
      <c r="J20" s="114"/>
      <c r="L20" s="258"/>
    </row>
    <row r="21" spans="1:12" ht="45" customHeight="1" x14ac:dyDescent="0.25">
      <c r="A21" s="108">
        <v>15</v>
      </c>
      <c r="B21" s="113"/>
      <c r="C21" s="113"/>
      <c r="D21" s="113"/>
      <c r="E21" s="127"/>
      <c r="F21" s="121"/>
      <c r="G21" s="113"/>
      <c r="H21" s="113"/>
      <c r="I21" s="113"/>
      <c r="J21" s="114"/>
      <c r="L21" s="258"/>
    </row>
    <row r="22" spans="1:12" ht="45" customHeight="1" x14ac:dyDescent="0.25">
      <c r="A22" s="109">
        <v>16</v>
      </c>
      <c r="B22" s="115"/>
      <c r="C22" s="115"/>
      <c r="D22" s="115"/>
      <c r="E22" s="128"/>
      <c r="F22" s="122"/>
      <c r="G22" s="115"/>
      <c r="H22" s="115"/>
      <c r="I22" s="115"/>
      <c r="J22" s="116"/>
      <c r="L22" s="258"/>
    </row>
    <row r="23" spans="1:12" ht="45" customHeight="1" x14ac:dyDescent="0.25">
      <c r="A23" s="108">
        <v>17</v>
      </c>
      <c r="B23" s="113"/>
      <c r="C23" s="113"/>
      <c r="D23" s="113"/>
      <c r="E23" s="127"/>
      <c r="F23" s="121"/>
      <c r="G23" s="113"/>
      <c r="H23" s="113"/>
      <c r="I23" s="113"/>
      <c r="J23" s="114"/>
      <c r="L23" s="258"/>
    </row>
    <row r="24" spans="1:12" ht="45" customHeight="1" x14ac:dyDescent="0.25">
      <c r="A24" s="108">
        <v>18</v>
      </c>
      <c r="B24" s="113"/>
      <c r="C24" s="113"/>
      <c r="D24" s="113"/>
      <c r="E24" s="127"/>
      <c r="F24" s="121"/>
      <c r="G24" s="113"/>
      <c r="H24" s="113"/>
      <c r="I24" s="113"/>
      <c r="J24" s="114"/>
      <c r="L24" s="258"/>
    </row>
    <row r="25" spans="1:12" ht="45" customHeight="1" x14ac:dyDescent="0.25">
      <c r="A25" s="108">
        <v>19</v>
      </c>
      <c r="B25" s="113"/>
      <c r="C25" s="113"/>
      <c r="D25" s="113"/>
      <c r="E25" s="127"/>
      <c r="F25" s="121"/>
      <c r="G25" s="113"/>
      <c r="H25" s="113"/>
      <c r="I25" s="113"/>
      <c r="J25" s="114"/>
      <c r="L25" s="258"/>
    </row>
    <row r="26" spans="1:12" ht="45" customHeight="1" x14ac:dyDescent="0.25">
      <c r="A26" s="108">
        <v>20</v>
      </c>
      <c r="B26" s="113"/>
      <c r="C26" s="113"/>
      <c r="D26" s="113"/>
      <c r="E26" s="127"/>
      <c r="F26" s="121"/>
      <c r="G26" s="113"/>
      <c r="H26" s="113"/>
      <c r="I26" s="113"/>
      <c r="J26" s="114"/>
      <c r="L26" s="258"/>
    </row>
    <row r="27" spans="1:12" ht="45" customHeight="1" x14ac:dyDescent="0.25">
      <c r="A27" s="108">
        <v>21</v>
      </c>
      <c r="B27" s="113"/>
      <c r="C27" s="113"/>
      <c r="D27" s="113"/>
      <c r="E27" s="127"/>
      <c r="F27" s="121"/>
      <c r="G27" s="113"/>
      <c r="H27" s="113"/>
      <c r="I27" s="113"/>
      <c r="J27" s="114"/>
      <c r="L27" s="258"/>
    </row>
    <row r="28" spans="1:12" ht="45" customHeight="1" x14ac:dyDescent="0.25">
      <c r="A28" s="108">
        <v>22</v>
      </c>
      <c r="B28" s="113"/>
      <c r="C28" s="113"/>
      <c r="D28" s="113"/>
      <c r="E28" s="127"/>
      <c r="F28" s="121"/>
      <c r="G28" s="113"/>
      <c r="H28" s="113"/>
      <c r="I28" s="113"/>
      <c r="J28" s="114"/>
      <c r="L28" s="258"/>
    </row>
    <row r="29" spans="1:12" ht="45" customHeight="1" x14ac:dyDescent="0.25">
      <c r="A29" s="108">
        <v>23</v>
      </c>
      <c r="B29" s="113"/>
      <c r="C29" s="113"/>
      <c r="D29" s="113"/>
      <c r="E29" s="127"/>
      <c r="F29" s="121"/>
      <c r="G29" s="113"/>
      <c r="H29" s="113"/>
      <c r="I29" s="113"/>
      <c r="J29" s="114"/>
      <c r="L29" s="258"/>
    </row>
    <row r="30" spans="1:12" ht="45" customHeight="1" x14ac:dyDescent="0.25">
      <c r="A30" s="109">
        <v>24</v>
      </c>
      <c r="B30" s="115"/>
      <c r="C30" s="115"/>
      <c r="D30" s="115"/>
      <c r="E30" s="128"/>
      <c r="F30" s="122"/>
      <c r="G30" s="115"/>
      <c r="H30" s="115"/>
      <c r="I30" s="115"/>
      <c r="J30" s="116"/>
      <c r="L30" s="258"/>
    </row>
    <row r="31" spans="1:12" ht="45" customHeight="1" thickBot="1" x14ac:dyDescent="0.3">
      <c r="A31" s="110">
        <v>25</v>
      </c>
      <c r="B31" s="117"/>
      <c r="C31" s="117"/>
      <c r="D31" s="117"/>
      <c r="E31" s="129"/>
      <c r="F31" s="123"/>
      <c r="G31" s="117"/>
      <c r="H31" s="117"/>
      <c r="I31" s="117"/>
      <c r="J31" s="118"/>
      <c r="L31" s="258"/>
    </row>
    <row r="32" spans="1:12" ht="9.9499999999999993" customHeight="1" x14ac:dyDescent="0.25"/>
    <row r="33" spans="1:8" ht="24" customHeight="1" x14ac:dyDescent="0.25">
      <c r="A33" s="440" t="s">
        <v>288</v>
      </c>
      <c r="B33" s="440"/>
      <c r="C33" s="440"/>
      <c r="D33" s="440"/>
      <c r="E33" s="440"/>
      <c r="F33" s="440"/>
      <c r="G33" s="440"/>
      <c r="H33" s="440"/>
    </row>
    <row r="34" spans="1:8" ht="24" customHeight="1" x14ac:dyDescent="0.25">
      <c r="B34" s="441" t="s">
        <v>289</v>
      </c>
      <c r="C34" s="442"/>
      <c r="D34" s="442"/>
      <c r="E34" s="441" t="s">
        <v>290</v>
      </c>
      <c r="F34" s="442"/>
      <c r="G34" s="442"/>
      <c r="H34" s="443"/>
    </row>
    <row r="35" spans="1:8" ht="20.100000000000001" customHeight="1" x14ac:dyDescent="0.25">
      <c r="B35" s="428">
        <f>SUM(E7:E31)</f>
        <v>0</v>
      </c>
      <c r="C35" s="429"/>
      <c r="D35" s="429"/>
      <c r="E35" s="431">
        <f>COUNTA($B$7:$B$31)</f>
        <v>0</v>
      </c>
      <c r="F35" s="429"/>
      <c r="G35" s="429"/>
      <c r="H35" s="432"/>
    </row>
    <row r="36" spans="1:8" ht="20.100000000000001" customHeight="1" x14ac:dyDescent="0.25">
      <c r="B36" s="430"/>
      <c r="C36" s="429"/>
      <c r="D36" s="429"/>
      <c r="E36" s="430"/>
      <c r="F36" s="429"/>
      <c r="G36" s="429"/>
      <c r="H36" s="432"/>
    </row>
    <row r="37" spans="1:8" ht="18" customHeight="1" x14ac:dyDescent="0.25">
      <c r="B37" s="433" t="s">
        <v>291</v>
      </c>
      <c r="C37" s="434"/>
      <c r="D37" s="434"/>
      <c r="E37" s="433" t="s">
        <v>292</v>
      </c>
      <c r="F37" s="435"/>
      <c r="G37" s="435"/>
      <c r="H37" s="436"/>
    </row>
    <row r="38" spans="1:8" ht="8.1" customHeight="1" x14ac:dyDescent="0.25"/>
    <row r="39" spans="1:8" x14ac:dyDescent="0.25"/>
  </sheetData>
  <sheetProtection algorithmName="SHA-512" hashValue="D9Mbge73Pj6B7W2Xp2mLa2ER4xVw/+Ihuf+Av1bWKEYflCOUXrG5eAO1dpLTeR5NFczDPrdangG5fRCHUVF7VA==" saltValue="ML5Cxlo5YSxbxNmInIYxZA==" spinCount="100000" sheet="1" objects="1" scenarios="1" formatCells="0" insertHyperlinks="0" selectLockedCells="1"/>
  <mergeCells count="9">
    <mergeCell ref="B35:D36"/>
    <mergeCell ref="E35:H36"/>
    <mergeCell ref="B37:D37"/>
    <mergeCell ref="E37:H37"/>
    <mergeCell ref="A1:G1"/>
    <mergeCell ref="A2:G2"/>
    <mergeCell ref="A33:H33"/>
    <mergeCell ref="B34:D34"/>
    <mergeCell ref="E34:H34"/>
  </mergeCells>
  <dataValidations count="1">
    <dataValidation type="list" sqref="F7:F31" xr:uid="{00000000-0002-0000-0700-000000000000}">
      <formula1>"Equity,SAFE,Convertible Loan,Debt,Grant,Other,TBD"</formula1>
      <formula2>0</formula2>
    </dataValidation>
  </dataValidations>
  <hyperlinks>
    <hyperlink ref="J1" location="'1. מדריך והנחיות'!A1" display="⌂  שלב 1 — מדריך והנחיות" xr:uid="{00000000-0004-0000-0700-000000000000}"/>
    <hyperlink ref="J2" location="'2.6 מו״פ וישראל'!A1" display="→  הקודם: 2.6 מו״פ וישראל" xr:uid="{00000000-0004-0000-0700-000001000000}"/>
    <hyperlink ref="J3" location="'2.8 נתונים מאוחדים'!A1" display="הבא: 2.8 נתונים מאוחדים  ←" xr:uid="{00000000-0004-0000-0700-000002000000}"/>
  </hyperlinks>
  <pageMargins left="0.7" right="0.7" top="0.75" bottom="0.75" header="0.511811023622047" footer="0.511811023622047"/>
  <pageSetup paperSize="9"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errorTitle="ערך לא תקין" error="יש לבחור ערך מתוך הרשימה בלבד." promptTitle="סוג המשקיע" prompt="בחרו את סוג המשקיע מתוך הרשימה. הציון יתעדכן אוטומטית." xr:uid="{00000000-0002-0000-0700-000001000000}">
          <x14:formula1>
            <xm:f>_דירוגים!$A$2:$A$9</xm:f>
          </x14:formula1>
          <xm:sqref>G7:G31</xm:sqref>
        </x14:dataValidation>
        <x14:dataValidation type="list" allowBlank="1" showInputMessage="1" showErrorMessage="1" errorTitle="ערך לא תקין" error="יש לבחור ערך מתוך הרשימה בלבד." promptTitle="תיאור המשקיע" prompt="בחרו את תיאור המשקיע מתוך הרשימה. הציון יתעדכן אוטומטית." xr:uid="{00000000-0002-0000-0700-000002000000}">
          <x14:formula1>
            <xm:f>_דירוגים!$C$2:$C$16</xm:f>
          </x14:formula1>
          <xm:sqref>H7:H31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T34"/>
  <sheetViews>
    <sheetView showGridLines="0" rightToLeft="1" zoomScale="80" zoomScaleNormal="80" workbookViewId="0">
      <selection activeCell="R1" sqref="R1"/>
    </sheetView>
  </sheetViews>
  <sheetFormatPr defaultColWidth="0" defaultRowHeight="15" zeroHeight="1" x14ac:dyDescent="0.25"/>
  <cols>
    <col min="1" max="1" width="6.140625" style="42" customWidth="1"/>
    <col min="2" max="2" width="41.85546875" style="42" customWidth="1"/>
    <col min="3" max="3" width="20" style="42" customWidth="1"/>
    <col min="4" max="16" width="18.7109375" style="42" customWidth="1"/>
    <col min="17" max="17" width="1.7109375" style="42" customWidth="1"/>
    <col min="18" max="18" width="80.7109375" style="42" customWidth="1"/>
    <col min="19" max="19" width="1.7109375" style="42" customWidth="1"/>
    <col min="20" max="20" width="0" style="42" hidden="1" customWidth="1"/>
    <col min="21" max="16384" width="8.7109375" style="42" hidden="1"/>
  </cols>
  <sheetData>
    <row r="1" spans="1:18" ht="31.5" customHeight="1" x14ac:dyDescent="0.25">
      <c r="A1" s="389" t="s">
        <v>412</v>
      </c>
      <c r="B1" s="389"/>
      <c r="C1" s="389"/>
      <c r="D1" s="389"/>
      <c r="E1" s="389"/>
      <c r="F1" s="389"/>
      <c r="G1" s="389"/>
      <c r="H1" s="389"/>
      <c r="I1" s="389"/>
      <c r="J1" s="389"/>
      <c r="K1" s="389"/>
      <c r="L1" s="389"/>
      <c r="M1" s="389"/>
      <c r="N1" s="389"/>
      <c r="O1" s="389"/>
      <c r="P1" s="389"/>
      <c r="R1" s="330" t="s">
        <v>413</v>
      </c>
    </row>
    <row r="2" spans="1:18" ht="20.100000000000001" customHeight="1" x14ac:dyDescent="0.25">
      <c r="A2" s="444" t="s">
        <v>294</v>
      </c>
      <c r="B2" s="444"/>
      <c r="C2" s="444"/>
      <c r="D2" s="444"/>
      <c r="E2" s="444"/>
      <c r="F2" s="444"/>
      <c r="G2" s="444"/>
      <c r="H2" s="444"/>
      <c r="I2" s="444"/>
      <c r="J2" s="444"/>
      <c r="K2" s="444"/>
      <c r="L2" s="444"/>
      <c r="M2" s="444"/>
      <c r="N2" s="444"/>
      <c r="O2" s="444"/>
      <c r="P2" s="444"/>
      <c r="R2" s="328" t="s">
        <v>426</v>
      </c>
    </row>
    <row r="3" spans="1:18" ht="20.100000000000001" customHeight="1" thickBot="1" x14ac:dyDescent="0.3">
      <c r="R3" s="388" t="s">
        <v>495</v>
      </c>
    </row>
    <row r="4" spans="1:18" ht="24" customHeight="1" thickBot="1" x14ac:dyDescent="0.3">
      <c r="A4" s="450" t="s">
        <v>298</v>
      </c>
      <c r="B4" s="445"/>
      <c r="C4" s="445"/>
      <c r="D4" s="445" t="s">
        <v>295</v>
      </c>
      <c r="E4" s="445"/>
      <c r="F4" s="445"/>
      <c r="G4" s="446"/>
      <c r="H4" s="447"/>
      <c r="I4" s="448" t="s">
        <v>296</v>
      </c>
      <c r="J4" s="447"/>
      <c r="K4" s="445" t="s">
        <v>297</v>
      </c>
      <c r="L4" s="445"/>
      <c r="M4" s="445"/>
      <c r="N4" s="445"/>
      <c r="O4" s="445"/>
      <c r="P4" s="449"/>
      <c r="R4" s="388"/>
    </row>
    <row r="5" spans="1:18" ht="42" customHeight="1" thickBot="1" x14ac:dyDescent="0.3">
      <c r="A5" s="238" t="s">
        <v>137</v>
      </c>
      <c r="B5" s="239" t="s">
        <v>299</v>
      </c>
      <c r="C5" s="239" t="s">
        <v>300</v>
      </c>
      <c r="D5" s="239" t="s">
        <v>90</v>
      </c>
      <c r="E5" s="239" t="s">
        <v>301</v>
      </c>
      <c r="F5" s="239" t="s">
        <v>302</v>
      </c>
      <c r="G5" s="240" t="s">
        <v>303</v>
      </c>
      <c r="H5" s="241" t="s">
        <v>304</v>
      </c>
      <c r="I5" s="242" t="s">
        <v>90</v>
      </c>
      <c r="J5" s="241" t="s">
        <v>301</v>
      </c>
      <c r="K5" s="239" t="s">
        <v>126</v>
      </c>
      <c r="L5" s="239" t="s">
        <v>127</v>
      </c>
      <c r="M5" s="239" t="s">
        <v>128</v>
      </c>
      <c r="N5" s="239" t="s">
        <v>61</v>
      </c>
      <c r="O5" s="239" t="s">
        <v>129</v>
      </c>
      <c r="P5" s="243" t="s">
        <v>130</v>
      </c>
    </row>
    <row r="6" spans="1:18" ht="24" customHeight="1" thickBot="1" x14ac:dyDescent="0.3">
      <c r="A6" s="244" t="s">
        <v>305</v>
      </c>
      <c r="B6" s="245">
        <f>'2.1 פרטי בקשה'!C4</f>
        <v>0</v>
      </c>
      <c r="C6" s="245" t="s">
        <v>306</v>
      </c>
      <c r="D6" s="246">
        <f>'2.4 הכנסות והוצאות'!C25</f>
        <v>0</v>
      </c>
      <c r="E6" s="246">
        <f>'2.4 הכנסות והוצאות'!C26+IF('2.5 עלויות מו״פ שהוונו'!$C$6="כן",'2.5 עלויות מו״פ שהוונו'!$C$10,0)</f>
        <v>0</v>
      </c>
      <c r="F6" s="246">
        <f>'2.6 מו״פ וישראל'!C20</f>
        <v>0</v>
      </c>
      <c r="G6" s="247">
        <f>'2.6 מו״פ וישראל'!E20</f>
        <v>0</v>
      </c>
      <c r="H6" s="248">
        <f>'2.4 הכנסות והוצאות'!C31</f>
        <v>0</v>
      </c>
      <c r="I6" s="249">
        <f>'2.4 הכנסות והוצאות'!D25</f>
        <v>0</v>
      </c>
      <c r="J6" s="248">
        <f>'2.4 הכנסות והוצאות'!D26</f>
        <v>0</v>
      </c>
      <c r="K6" s="246">
        <f>'2.3 מצב כספי'!C17</f>
        <v>0</v>
      </c>
      <c r="L6" s="246">
        <f>'2.3 מצב כספי'!C22</f>
        <v>0</v>
      </c>
      <c r="M6" s="246">
        <f>'2.3 מצב כספי'!J16</f>
        <v>0</v>
      </c>
      <c r="N6" s="246">
        <f>'2.3 מצב כספי'!J19</f>
        <v>0</v>
      </c>
      <c r="O6" s="246">
        <f>'2.3 מצב כספי'!J24</f>
        <v>0</v>
      </c>
      <c r="P6" s="250">
        <f>'2.3 מצב כספי'!J30</f>
        <v>0</v>
      </c>
      <c r="R6" s="267" t="s">
        <v>498</v>
      </c>
    </row>
    <row r="7" spans="1:18" ht="15" customHeight="1" x14ac:dyDescent="0.25">
      <c r="A7" s="237"/>
      <c r="B7" s="251" t="s">
        <v>497</v>
      </c>
      <c r="C7" s="237"/>
      <c r="D7" s="237"/>
      <c r="E7" s="237"/>
      <c r="F7" s="237"/>
      <c r="G7" s="237"/>
      <c r="H7" s="237"/>
      <c r="I7" s="237"/>
      <c r="J7" s="237"/>
      <c r="K7" s="237"/>
      <c r="L7" s="237"/>
      <c r="M7" s="237"/>
      <c r="N7" s="237"/>
      <c r="O7" s="237"/>
      <c r="P7" s="237"/>
    </row>
    <row r="8" spans="1:18" ht="21.95" customHeight="1" x14ac:dyDescent="0.25">
      <c r="A8" s="134">
        <v>1</v>
      </c>
      <c r="B8" s="236" t="str">
        <f>IF(cell_yashuyot_kshurot_flag&lt;&gt;"כן","",IF('2.2 מבנה החזקות'!$B13="","",'2.2 מבנה החזקות'!$B13))</f>
        <v/>
      </c>
      <c r="C8" s="135" t="str">
        <f t="shared" ref="C8:C19" si="0">IF($B8="","","ישות קשורה")</f>
        <v/>
      </c>
      <c r="D8" s="300"/>
      <c r="E8" s="300"/>
      <c r="F8" s="300"/>
      <c r="G8" s="300"/>
      <c r="H8" s="300"/>
      <c r="I8" s="300"/>
      <c r="J8" s="300"/>
      <c r="K8" s="300"/>
      <c r="L8" s="300"/>
      <c r="M8" s="300"/>
      <c r="N8" s="300"/>
      <c r="O8" s="300"/>
      <c r="P8" s="300"/>
      <c r="R8" s="258"/>
    </row>
    <row r="9" spans="1:18" ht="21.95" customHeight="1" x14ac:dyDescent="0.25">
      <c r="A9" s="134">
        <v>2</v>
      </c>
      <c r="B9" s="236" t="str">
        <f>IF(cell_yashuyot_kshurot_flag&lt;&gt;"כן","",IF('2.2 מבנה החזקות'!$B14="","",'2.2 מבנה החזקות'!$B14))</f>
        <v/>
      </c>
      <c r="C9" s="135" t="str">
        <f t="shared" si="0"/>
        <v/>
      </c>
      <c r="D9" s="300"/>
      <c r="E9" s="300"/>
      <c r="F9" s="300"/>
      <c r="G9" s="300"/>
      <c r="H9" s="300"/>
      <c r="I9" s="300"/>
      <c r="J9" s="300"/>
      <c r="K9" s="300"/>
      <c r="L9" s="300"/>
      <c r="M9" s="300"/>
      <c r="N9" s="300"/>
      <c r="O9" s="300"/>
      <c r="P9" s="300"/>
      <c r="R9" s="258"/>
    </row>
    <row r="10" spans="1:18" ht="21.95" customHeight="1" x14ac:dyDescent="0.25">
      <c r="A10" s="136" t="s">
        <v>482</v>
      </c>
      <c r="B10" s="236" t="str">
        <f>IF(cell_yashuyot_kshurot_flag&lt;&gt;"כן","",IF('2.2 מבנה החזקות'!$B15="","",'2.2 מבנה החזקות'!$B15))</f>
        <v/>
      </c>
      <c r="C10" s="135" t="str">
        <f t="shared" si="0"/>
        <v/>
      </c>
      <c r="D10" s="300"/>
      <c r="E10" s="300"/>
      <c r="F10" s="300"/>
      <c r="G10" s="300"/>
      <c r="H10" s="300"/>
      <c r="I10" s="300"/>
      <c r="J10" s="300"/>
      <c r="K10" s="300"/>
      <c r="L10" s="300"/>
      <c r="M10" s="300"/>
      <c r="N10" s="300"/>
      <c r="O10" s="300"/>
      <c r="P10" s="300"/>
      <c r="R10" s="258"/>
    </row>
    <row r="11" spans="1:18" ht="21.95" customHeight="1" x14ac:dyDescent="0.25">
      <c r="A11" s="136" t="s">
        <v>483</v>
      </c>
      <c r="B11" s="236" t="str">
        <f>IF(cell_yashuyot_kshurot_flag&lt;&gt;"כן","",IF('2.2 מבנה החזקות'!$B16="","",'2.2 מבנה החזקות'!$B16))</f>
        <v/>
      </c>
      <c r="C11" s="135" t="str">
        <f t="shared" si="0"/>
        <v/>
      </c>
      <c r="D11" s="300"/>
      <c r="E11" s="300"/>
      <c r="F11" s="300"/>
      <c r="G11" s="300"/>
      <c r="H11" s="300"/>
      <c r="I11" s="300"/>
      <c r="J11" s="300"/>
      <c r="K11" s="300"/>
      <c r="L11" s="300"/>
      <c r="M11" s="300"/>
      <c r="N11" s="300"/>
      <c r="O11" s="300"/>
      <c r="P11" s="300"/>
      <c r="R11" s="258"/>
    </row>
    <row r="12" spans="1:18" ht="21.95" customHeight="1" x14ac:dyDescent="0.25">
      <c r="A12" s="136" t="s">
        <v>484</v>
      </c>
      <c r="B12" s="236" t="str">
        <f>IF(cell_yashuyot_kshurot_flag&lt;&gt;"כן","",IF('2.2 מבנה החזקות'!$B17="","",'2.2 מבנה החזקות'!$B17))</f>
        <v/>
      </c>
      <c r="C12" s="135" t="str">
        <f t="shared" si="0"/>
        <v/>
      </c>
      <c r="D12" s="300"/>
      <c r="E12" s="300"/>
      <c r="F12" s="300"/>
      <c r="G12" s="300"/>
      <c r="H12" s="300"/>
      <c r="I12" s="300"/>
      <c r="J12" s="300"/>
      <c r="K12" s="300"/>
      <c r="L12" s="300"/>
      <c r="M12" s="300"/>
      <c r="N12" s="300"/>
      <c r="O12" s="300"/>
      <c r="P12" s="300"/>
      <c r="R12" s="258"/>
    </row>
    <row r="13" spans="1:18" ht="21.95" customHeight="1" x14ac:dyDescent="0.25">
      <c r="A13" s="136" t="s">
        <v>485</v>
      </c>
      <c r="B13" s="236" t="str">
        <f>IF(cell_yashuyot_kshurot_flag&lt;&gt;"כן","",IF('2.2 מבנה החזקות'!$B18="","",'2.2 מבנה החזקות'!$B18))</f>
        <v/>
      </c>
      <c r="C13" s="135" t="str">
        <f t="shared" si="0"/>
        <v/>
      </c>
      <c r="D13" s="300"/>
      <c r="E13" s="300"/>
      <c r="F13" s="300"/>
      <c r="G13" s="300"/>
      <c r="H13" s="300"/>
      <c r="I13" s="300"/>
      <c r="J13" s="300"/>
      <c r="K13" s="300"/>
      <c r="L13" s="300"/>
      <c r="M13" s="300"/>
      <c r="N13" s="300"/>
      <c r="O13" s="300"/>
      <c r="P13" s="300"/>
      <c r="R13" s="258"/>
    </row>
    <row r="14" spans="1:18" ht="21.95" customHeight="1" x14ac:dyDescent="0.25">
      <c r="A14" s="136" t="s">
        <v>486</v>
      </c>
      <c r="B14" s="236" t="str">
        <f>IF(cell_yashuyot_kshurot_flag&lt;&gt;"כן","",IF('2.2 מבנה החזקות'!$B19="","",'2.2 מבנה החזקות'!$B19))</f>
        <v/>
      </c>
      <c r="C14" s="135" t="str">
        <f t="shared" si="0"/>
        <v/>
      </c>
      <c r="D14" s="300"/>
      <c r="E14" s="300"/>
      <c r="F14" s="300"/>
      <c r="G14" s="300"/>
      <c r="H14" s="300"/>
      <c r="I14" s="300"/>
      <c r="J14" s="300"/>
      <c r="K14" s="300"/>
      <c r="L14" s="300"/>
      <c r="M14" s="300"/>
      <c r="N14" s="300"/>
      <c r="O14" s="300"/>
      <c r="P14" s="300"/>
      <c r="R14" s="258"/>
    </row>
    <row r="15" spans="1:18" ht="21.95" customHeight="1" x14ac:dyDescent="0.25">
      <c r="A15" s="136" t="s">
        <v>487</v>
      </c>
      <c r="B15" s="236" t="str">
        <f>IF(cell_yashuyot_kshurot_flag&lt;&gt;"כן","",IF('2.2 מבנה החזקות'!$B20="","",'2.2 מבנה החזקות'!$B20))</f>
        <v/>
      </c>
      <c r="C15" s="135" t="str">
        <f t="shared" si="0"/>
        <v/>
      </c>
      <c r="D15" s="300"/>
      <c r="E15" s="300"/>
      <c r="F15" s="300"/>
      <c r="G15" s="300"/>
      <c r="H15" s="300"/>
      <c r="I15" s="300"/>
      <c r="J15" s="300"/>
      <c r="K15" s="300"/>
      <c r="L15" s="300"/>
      <c r="M15" s="300"/>
      <c r="N15" s="300"/>
      <c r="O15" s="300"/>
      <c r="P15" s="300"/>
      <c r="R15" s="258"/>
    </row>
    <row r="16" spans="1:18" ht="21.95" customHeight="1" x14ac:dyDescent="0.25">
      <c r="A16" s="136" t="s">
        <v>488</v>
      </c>
      <c r="B16" s="236" t="str">
        <f>IF(cell_yashuyot_kshurot_flag&lt;&gt;"כן","",IF('2.2 מבנה החזקות'!$B21="","",'2.2 מבנה החזקות'!$B21))</f>
        <v/>
      </c>
      <c r="C16" s="135" t="str">
        <f t="shared" si="0"/>
        <v/>
      </c>
      <c r="D16" s="300"/>
      <c r="E16" s="300"/>
      <c r="F16" s="300"/>
      <c r="G16" s="300"/>
      <c r="H16" s="300"/>
      <c r="I16" s="300"/>
      <c r="J16" s="300"/>
      <c r="K16" s="300"/>
      <c r="L16" s="300"/>
      <c r="M16" s="300"/>
      <c r="N16" s="300"/>
      <c r="O16" s="300"/>
      <c r="P16" s="300"/>
      <c r="R16" s="258"/>
    </row>
    <row r="17" spans="1:18" ht="21.95" customHeight="1" x14ac:dyDescent="0.25">
      <c r="A17" s="136" t="s">
        <v>489</v>
      </c>
      <c r="B17" s="236" t="str">
        <f>IF(cell_yashuyot_kshurot_flag&lt;&gt;"כן","",IF('2.2 מבנה החזקות'!$B22="","",'2.2 מבנה החזקות'!$B22))</f>
        <v/>
      </c>
      <c r="C17" s="135" t="str">
        <f t="shared" si="0"/>
        <v/>
      </c>
      <c r="D17" s="300"/>
      <c r="E17" s="300"/>
      <c r="F17" s="300"/>
      <c r="G17" s="300"/>
      <c r="H17" s="300"/>
      <c r="I17" s="300"/>
      <c r="J17" s="300"/>
      <c r="K17" s="300"/>
      <c r="L17" s="300"/>
      <c r="M17" s="300"/>
      <c r="N17" s="300"/>
      <c r="O17" s="300"/>
      <c r="P17" s="300"/>
      <c r="R17" s="258"/>
    </row>
    <row r="18" spans="1:18" ht="21.95" customHeight="1" x14ac:dyDescent="0.25">
      <c r="A18" s="136" t="s">
        <v>490</v>
      </c>
      <c r="B18" s="236" t="str">
        <f>IF(cell_yashuyot_kshurot_flag&lt;&gt;"כן","",IF('2.2 מבנה החזקות'!$B23="","",'2.2 מבנה החזקות'!$B23))</f>
        <v/>
      </c>
      <c r="C18" s="135" t="str">
        <f t="shared" si="0"/>
        <v/>
      </c>
      <c r="D18" s="300"/>
      <c r="E18" s="300"/>
      <c r="F18" s="300"/>
      <c r="G18" s="300"/>
      <c r="H18" s="300"/>
      <c r="I18" s="300"/>
      <c r="J18" s="300"/>
      <c r="K18" s="300"/>
      <c r="L18" s="300"/>
      <c r="M18" s="300"/>
      <c r="N18" s="300"/>
      <c r="O18" s="300"/>
      <c r="P18" s="300"/>
      <c r="R18" s="258"/>
    </row>
    <row r="19" spans="1:18" ht="21.95" customHeight="1" x14ac:dyDescent="0.25">
      <c r="A19" s="137" t="s">
        <v>491</v>
      </c>
      <c r="B19" s="236" t="str">
        <f>IF(cell_yashuyot_kshurot_flag&lt;&gt;"כן","",IF('2.2 מבנה החזקות'!$B24="","",'2.2 מבנה החזקות'!$B24))</f>
        <v/>
      </c>
      <c r="C19" s="135" t="str">
        <f t="shared" si="0"/>
        <v/>
      </c>
      <c r="D19" s="300"/>
      <c r="E19" s="300"/>
      <c r="F19" s="300"/>
      <c r="G19" s="300"/>
      <c r="H19" s="300"/>
      <c r="I19" s="300"/>
      <c r="J19" s="300"/>
      <c r="K19" s="300"/>
      <c r="L19" s="300"/>
      <c r="M19" s="300"/>
      <c r="N19" s="300"/>
      <c r="O19" s="300"/>
      <c r="P19" s="300"/>
      <c r="R19" s="258"/>
    </row>
    <row r="20" spans="1:18" ht="6" customHeight="1" x14ac:dyDescent="0.25">
      <c r="A20" s="131"/>
      <c r="B20" s="131"/>
      <c r="C20" s="131"/>
      <c r="D20" s="131"/>
      <c r="E20" s="131"/>
      <c r="F20" s="131"/>
      <c r="G20" s="131"/>
      <c r="H20" s="131"/>
      <c r="I20" s="131"/>
      <c r="J20" s="131"/>
      <c r="K20" s="131"/>
      <c r="L20" s="131"/>
      <c r="M20" s="131"/>
      <c r="N20" s="131"/>
      <c r="O20" s="131"/>
      <c r="P20" s="131"/>
    </row>
    <row r="21" spans="1:18" ht="21.95" customHeight="1" x14ac:dyDescent="0.25"/>
    <row r="22" spans="1:18" ht="15" customHeight="1" thickBot="1" x14ac:dyDescent="0.3">
      <c r="A22" s="237"/>
      <c r="B22" s="251"/>
      <c r="C22" s="237"/>
      <c r="D22" s="237"/>
      <c r="E22" s="237"/>
      <c r="F22" s="237"/>
      <c r="G22" s="237"/>
      <c r="H22" s="237"/>
      <c r="I22" s="237"/>
      <c r="J22" s="237"/>
      <c r="K22" s="237"/>
      <c r="L22" s="237"/>
      <c r="M22" s="237"/>
      <c r="N22" s="237"/>
      <c r="O22" s="237"/>
      <c r="P22" s="237"/>
    </row>
    <row r="23" spans="1:18" ht="24" customHeight="1" x14ac:dyDescent="0.25">
      <c r="A23" s="138" t="s">
        <v>307</v>
      </c>
      <c r="B23" s="139" t="s">
        <v>125</v>
      </c>
      <c r="C23" s="139" t="s">
        <v>308</v>
      </c>
      <c r="D23" s="140"/>
      <c r="E23" s="140"/>
      <c r="F23" s="140"/>
      <c r="G23" s="140"/>
      <c r="H23" s="140"/>
      <c r="I23" s="140"/>
      <c r="J23" s="140"/>
      <c r="K23" s="140"/>
      <c r="L23" s="140"/>
      <c r="M23" s="140"/>
      <c r="N23" s="140"/>
      <c r="O23" s="140"/>
      <c r="P23" s="141"/>
      <c r="R23" s="258"/>
    </row>
    <row r="24" spans="1:18" ht="27.95" customHeight="1" thickBot="1" x14ac:dyDescent="0.3">
      <c r="A24" s="142" t="s">
        <v>309</v>
      </c>
      <c r="B24" s="143" t="s">
        <v>293</v>
      </c>
      <c r="C24" s="143" t="s">
        <v>310</v>
      </c>
      <c r="D24" s="144">
        <f t="shared" ref="D24:P24" si="1">D6+SUM(D8:D19)-N(D23)</f>
        <v>0</v>
      </c>
      <c r="E24" s="144">
        <f t="shared" si="1"/>
        <v>0</v>
      </c>
      <c r="F24" s="144">
        <f t="shared" si="1"/>
        <v>0</v>
      </c>
      <c r="G24" s="144">
        <f t="shared" si="1"/>
        <v>0</v>
      </c>
      <c r="H24" s="144">
        <f t="shared" si="1"/>
        <v>0</v>
      </c>
      <c r="I24" s="144">
        <f t="shared" si="1"/>
        <v>0</v>
      </c>
      <c r="J24" s="144">
        <f t="shared" si="1"/>
        <v>0</v>
      </c>
      <c r="K24" s="144">
        <f t="shared" si="1"/>
        <v>0</v>
      </c>
      <c r="L24" s="144">
        <f t="shared" si="1"/>
        <v>0</v>
      </c>
      <c r="M24" s="144">
        <f t="shared" si="1"/>
        <v>0</v>
      </c>
      <c r="N24" s="144">
        <f t="shared" si="1"/>
        <v>0</v>
      </c>
      <c r="O24" s="144">
        <f t="shared" si="1"/>
        <v>0</v>
      </c>
      <c r="P24" s="145">
        <f t="shared" si="1"/>
        <v>0</v>
      </c>
    </row>
    <row r="25" spans="1:18" ht="8.1" customHeight="1" x14ac:dyDescent="0.25"/>
    <row r="26" spans="1:18" ht="21.95" customHeight="1" x14ac:dyDescent="0.25">
      <c r="B26" s="132"/>
      <c r="C26" s="133"/>
      <c r="D26" s="133"/>
      <c r="E26" s="133"/>
      <c r="F26" s="133"/>
      <c r="G26" s="133"/>
      <c r="H26" s="133"/>
      <c r="I26" s="133"/>
      <c r="J26" s="133"/>
      <c r="K26" s="133"/>
      <c r="L26" s="133"/>
      <c r="M26" s="133"/>
      <c r="N26" s="133"/>
      <c r="O26" s="133"/>
      <c r="P26" s="133"/>
    </row>
    <row r="27" spans="1:18" ht="21.95" customHeight="1" x14ac:dyDescent="0.25"/>
    <row r="28" spans="1:18" ht="21.95" hidden="1" customHeight="1" x14ac:dyDescent="0.25"/>
    <row r="29" spans="1:18" ht="21.95" hidden="1" customHeight="1" x14ac:dyDescent="0.25"/>
    <row r="30" spans="1:18" ht="21.95" hidden="1" customHeight="1" x14ac:dyDescent="0.25"/>
    <row r="31" spans="1:18" ht="21.95" hidden="1" customHeight="1" x14ac:dyDescent="0.25"/>
    <row r="32" spans="1:18" ht="21.95" hidden="1" customHeight="1" x14ac:dyDescent="0.25"/>
    <row r="33" ht="21.95" hidden="1" customHeight="1" x14ac:dyDescent="0.25"/>
    <row r="34" ht="21.95" hidden="1" customHeight="1" x14ac:dyDescent="0.25"/>
  </sheetData>
  <sheetProtection algorithmName="SHA-512" hashValue="F4bimvhlEPSppfkEkZLjgEpnM37MD/O0DTifNKL2N9QLvVGOO+l6fPzDJaKgphDsRnoOWhQkfnmhFWU9tp+3PQ==" saltValue="FC0BTR4ukv1AkuYuMOmzTw==" spinCount="100000" sheet="1" objects="1" scenarios="1" formatCells="0" insertHyperlinks="0" selectLockedCells="1"/>
  <mergeCells count="7">
    <mergeCell ref="R3:R4"/>
    <mergeCell ref="A1:P1"/>
    <mergeCell ref="A2:P2"/>
    <mergeCell ref="D4:H4"/>
    <mergeCell ref="I4:J4"/>
    <mergeCell ref="K4:P4"/>
    <mergeCell ref="A4:C4"/>
  </mergeCells>
  <conditionalFormatting sqref="A8:R19">
    <cfRule type="expression" dxfId="18" priority="21">
      <formula>cell_yashuyot_kshurot_flag&lt;&gt;"כן"</formula>
    </cfRule>
  </conditionalFormatting>
  <conditionalFormatting sqref="B8:P19">
    <cfRule type="expression" dxfId="17" priority="20">
      <formula>$B8=""</formula>
    </cfRule>
  </conditionalFormatting>
  <hyperlinks>
    <hyperlink ref="R1" location="'1. מדריך והנחיות'!A1" display="⌂  שלב 1 — מדריך והנחיות" xr:uid="{00000000-0004-0000-0800-000000000000}"/>
    <hyperlink ref="R2" location="'2.7 משקיעים'!A1" display="→  הקודם: 2.7 משקיעים" xr:uid="{00000000-0004-0000-0800-000001000000}"/>
    <hyperlink ref="R3" location="'3. אופק שרידות'!A1" display="הבא: 3. אופק שרידות  ←" xr:uid="{00000000-0004-0000-0800-000002000000}"/>
    <hyperlink ref="R3:R4" location="'3. אופק שרידות'!A1" display="הבא: 3. אופק שרידות  ←" xr:uid="{F7D71F95-B4C3-4993-8684-88034909B343}"/>
  </hyperlinks>
  <pageMargins left="0.7" right="0.7" top="0.75" bottom="0.75" header="0.511811023622047" footer="0.511811023622047"/>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76471627CCFE4BA26BED6AE4B680C3" ma:contentTypeVersion="13" ma:contentTypeDescription="Create a new document." ma:contentTypeScope="" ma:versionID="2fe8f5dc660cd1a3ead58b225f594cdc">
  <xsd:schema xmlns:xsd="http://www.w3.org/2001/XMLSchema" xmlns:xs="http://www.w3.org/2001/XMLSchema" xmlns:p="http://schemas.microsoft.com/office/2006/metadata/properties" xmlns:ns2="506e6e91-3c34-41e9-951f-3069a8eaf809" xmlns:ns3="ca567584-2bdd-45c7-bbb2-f215813a922a" targetNamespace="http://schemas.microsoft.com/office/2006/metadata/properties" ma:root="true" ma:fieldsID="f5794593a40226a9f4fe61b3c7b772ce" ns2:_="" ns3:_="">
    <xsd:import namespace="506e6e91-3c34-41e9-951f-3069a8eaf809"/>
    <xsd:import namespace="ca567584-2bdd-45c7-bbb2-f215813a92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6e91-3c34-41e9-951f-3069a8eaf8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bfde1c4-c9d8-4fcd-b16f-01dc7c0f67d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567584-2bdd-45c7-bbb2-f215813a922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e3bd02-3696-412b-88e8-84495b9605ec}" ma:internalName="TaxCatchAll" ma:showField="CatchAllData" ma:web="ca567584-2bdd-45c7-bbb2-f215813a92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6e6e91-3c34-41e9-951f-3069a8eaf809">
      <Terms xmlns="http://schemas.microsoft.com/office/infopath/2007/PartnerControls"/>
    </lcf76f155ced4ddcb4097134ff3c332f>
    <TaxCatchAll xmlns="ca567584-2bdd-45c7-bbb2-f215813a922a" xsi:nil="true"/>
  </documentManagement>
</p:properties>
</file>

<file path=customXml/itemProps1.xml><?xml version="1.0" encoding="utf-8"?>
<ds:datastoreItem xmlns:ds="http://schemas.openxmlformats.org/officeDocument/2006/customXml" ds:itemID="{F0F63E9B-F6BD-4D3D-B2AA-82DCF9C21298}"/>
</file>

<file path=customXml/itemProps2.xml><?xml version="1.0" encoding="utf-8"?>
<ds:datastoreItem xmlns:ds="http://schemas.openxmlformats.org/officeDocument/2006/customXml" ds:itemID="{A8A81796-1D2D-4C5F-A177-F16EF70DA0C7}"/>
</file>

<file path=customXml/itemProps3.xml><?xml version="1.0" encoding="utf-8"?>
<ds:datastoreItem xmlns:ds="http://schemas.openxmlformats.org/officeDocument/2006/customXml" ds:itemID="{47ED29FF-DD61-48F7-9026-80F868CB2762}"/>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45</vt:i4>
      </vt:variant>
    </vt:vector>
  </HeadingPairs>
  <TitlesOfParts>
    <vt:vector size="58" baseType="lpstr">
      <vt:lpstr>1. מדריך והנחיות</vt:lpstr>
      <vt:lpstr>2.1 פרטי בקשה</vt:lpstr>
      <vt:lpstr>2.2 מבנה החזקות</vt:lpstr>
      <vt:lpstr>2.3 מצב כספי</vt:lpstr>
      <vt:lpstr>2.4 הכנסות והוצאות</vt:lpstr>
      <vt:lpstr>2.5 עלויות מו״פ שהוונו</vt:lpstr>
      <vt:lpstr>2.6 מו״פ וישראל</vt:lpstr>
      <vt:lpstr>2.7 משקיעים</vt:lpstr>
      <vt:lpstr>2.8 נתונים מאוחדים</vt:lpstr>
      <vt:lpstr>3. אופק שרידות</vt:lpstr>
      <vt:lpstr>4. תנאי סף</vt:lpstr>
      <vt:lpstr>5. קצב הוצאות צפוי</vt:lpstr>
      <vt:lpstr>6 חישוב מענק</vt:lpstr>
      <vt:lpstr>cell_vers_title</vt:lpstr>
      <vt:lpstr>cell_yashuyot_kshurot_flag</vt:lpstr>
      <vt:lpstr>rng_hide_col_0301</vt:lpstr>
      <vt:lpstr>rng_hide_col_madrich1</vt:lpstr>
      <vt:lpstr>rng_hide_col_pirtey1</vt:lpstr>
      <vt:lpstr>rng_hide_row_0202</vt:lpstr>
      <vt:lpstr>rng_hide_row_0301</vt:lpstr>
      <vt:lpstr>rng_hide_row_matzav_kaspi1</vt:lpstr>
      <vt:lpstr>rng_hide_row_mivne1</vt:lpstr>
      <vt:lpstr>rng_hide_row_netunim</vt:lpstr>
      <vt:lpstr>rng_table_020201</vt:lpstr>
      <vt:lpstr>rng_table_020202</vt:lpstr>
      <vt:lpstr>rng_table_020301</vt:lpstr>
      <vt:lpstr>rng_table_020302</vt:lpstr>
      <vt:lpstr>rng_table_020303</vt:lpstr>
      <vt:lpstr>rng_table_020304</vt:lpstr>
      <vt:lpstr>rng_table_020305</vt:lpstr>
      <vt:lpstr>rng_table_020306</vt:lpstr>
      <vt:lpstr>rng_table_020401</vt:lpstr>
      <vt:lpstr>rng_table_020402</vt:lpstr>
      <vt:lpstr>rng_table_020501</vt:lpstr>
      <vt:lpstr>rng_table_020502</vt:lpstr>
      <vt:lpstr>rng_table_020503</vt:lpstr>
      <vt:lpstr>rng_table_020601</vt:lpstr>
      <vt:lpstr>rng_table_020602</vt:lpstr>
      <vt:lpstr>rng_table_020701</vt:lpstr>
      <vt:lpstr>rng_table_020801</vt:lpstr>
      <vt:lpstr>rng_table_020802</vt:lpstr>
      <vt:lpstr>rng_table_0301</vt:lpstr>
      <vt:lpstr>rng_table_0302</vt:lpstr>
      <vt:lpstr>rng_table_0303</vt:lpstr>
      <vt:lpstr>rng_table_0401</vt:lpstr>
      <vt:lpstr>rng_table_0501</vt:lpstr>
      <vt:lpstr>rng_table_0502</vt:lpstr>
      <vt:lpstr>rng_table_0601</vt:lpstr>
      <vt:lpstr>rng_table_mivne_yashuyot</vt:lpstr>
      <vt:lpstr>rng_table_pirtey_habakasha</vt:lpstr>
      <vt:lpstr>table_0201_title</vt:lpstr>
      <vt:lpstr>template_base_name</vt:lpstr>
      <vt:lpstr>template_build_num</vt:lpstr>
      <vt:lpstr>template_date</vt:lpstr>
      <vt:lpstr>template_time</vt:lpstr>
      <vt:lpstr>template_track_id</vt:lpstr>
      <vt:lpstr>template_vers</vt:lpstr>
      <vt:lpstr>work_cell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1</cp:revision>
  <dcterms:created xsi:type="dcterms:W3CDTF">2026-07-28T14:46:28Z</dcterms:created>
  <dcterms:modified xsi:type="dcterms:W3CDTF">2026-08-04T12:23:44Z</dcterms:modified>
  <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0x0101008C76471627CCFE4BA26BED6AE4B680C3</vt:lpwstr>
  </property>
</Properties>
</file>