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0" yWindow="0" windowWidth="14220" windowHeight="12240" tabRatio="804" activeTab="1"/>
  </bookViews>
  <sheets>
    <sheet name="ראשי-פרטים כלליים וריכוז הוצאות" sheetId="1" r:id="rId1"/>
    <sheet name="כח אדם - שכר" sheetId="3" r:id="rId2"/>
    <sheet name="חומרים " sheetId="4" r:id="rId3"/>
    <sheet name="קבלני משנה " sheetId="8" r:id="rId4"/>
    <sheet name="שונות" sheetId="7" r:id="rId5"/>
    <sheet name="ציוד" sheetId="6" r:id="rId6"/>
    <sheet name="שיווק" sheetId="9" r:id="rId7"/>
    <sheet name="ציוד ייעודי" sheetId="11" r:id="rId8"/>
    <sheet name="תקציב בחתך משימות" sheetId="10" r:id="rId9"/>
  </sheets>
  <externalReferences>
    <externalReference r:id="rId10"/>
  </externalReferences>
  <definedNames>
    <definedName name="_01_02">'ראשי-פרטים כלליים וריכוז הוצאות'!$B$64:$B$94</definedName>
    <definedName name="haarot_takzivim">'ראשי-פרטים כלליים וריכוז הוצאות'!$G$1</definedName>
    <definedName name="hachlatat_vaada">'ראשי-פרטים כלליים וריכוז הוצאות'!$G$1</definedName>
    <definedName name="homarim_achuz_tkura">'חומרים '!$Q$3:$Q$42</definedName>
    <definedName name="homarim_kamut">'חומרים '!$P$3:$P$42</definedName>
    <definedName name="homarim_takziv">'חומרים '!$R$3:$R$42</definedName>
    <definedName name="homarim_teur">'חומרים '!$B$3:$B$42</definedName>
    <definedName name="kablanim_hearot">'קבלני משנה '!$V$3:$V$42</definedName>
    <definedName name="kablanim_location">'קבלני משנה '!$D$3:$D$42</definedName>
    <definedName name="kablanim_takziv">'קבלני משנה '!$S$3:$S$42</definedName>
    <definedName name="kablanim_teur">'קבלני משנה '!$C$3:$C$42</definedName>
    <definedName name="kablanim_toar">'קבלני משנה '!$B$3:$B$42</definedName>
    <definedName name="koah_adam_achuz">'כח אדם - שכר'!$W$4:$W$223</definedName>
    <definedName name="KOAH_ADAM_ACHUZ_MISRA">'כח אדם - שכר'!$O$4:$O$223</definedName>
    <definedName name="koah_adam_code_sachar">'כח אדם - שכר'!$E$4:$E$223</definedName>
    <definedName name="koah_adam_cost">'כח אדם - שכר'!$AF$4:$AF$223</definedName>
    <definedName name="koah_adam_limit_cost">'כח אדם - שכר'!$N$4:$N$223</definedName>
    <definedName name="koah_adam_mispar_hodashim">'כח אדם - שכר'!$X$4:$X$223</definedName>
    <definedName name="koah_adam_tafkid">'כח אדם - שכר'!$D$4:$D$223</definedName>
    <definedName name="koah_adam_takziv">'כח אדם - שכר'!$Z$4:$Z$223</definedName>
    <definedName name="koah_adam_teur">'כח אדם - שכר'!$B$4:$B$223</definedName>
    <definedName name="koah_adam_toar">'כח אדם - שכר'!$C$4:$C$223</definedName>
    <definedName name="Shivuk_Takziv">שיווק!$N$3:$N$42</definedName>
    <definedName name="Shivuk_Teur">שיווק!$B$3:$B$42</definedName>
    <definedName name="shonot_takziv">שונות!$V$3:$V$42</definedName>
    <definedName name="shonot_teur">שונות!$B$3:$B$42</definedName>
    <definedName name="takzivim_mumlazim">'ראשי-פרטים כלליים וריכוז הוצאות'!$J$20,'ראשי-פרטים כלליים וריכוז הוצאות'!$J$26:$J$28,'ראשי-פרטים כלליים וריכוז הוצאות'!$J$23</definedName>
    <definedName name="takzivim_teur">'ראשי-פרטים כלליים וריכוז הוצאות'!$C$20,'ראשי-פרטים כלליים וריכוז הוצאות'!$C$23,'ראשי-פרטים כלליים וריכוז הוצאות'!$C$26,'ראשי-פרטים כלליים וריכוז הוצאות'!$C$26:$C$28</definedName>
    <definedName name="_xlnm.Print_Titles" localSheetId="2">'חומרים '!$1:$2</definedName>
    <definedName name="_xlnm.Print_Titles" localSheetId="1">'כח אדם - שכר'!$1:$3</definedName>
    <definedName name="_xlnm.Print_Titles" localSheetId="5">ציוד!$1:$2</definedName>
    <definedName name="_xlnm.Print_Titles" localSheetId="3">'קבלני משנה '!$1:$2</definedName>
    <definedName name="_xlnm.Print_Titles" localSheetId="4">שונות!$1:$2</definedName>
    <definedName name="Z_0C0A7354_1E68_4AF0_8238_6CB67405E9AA_.wvu.Cols" localSheetId="1" hidden="1">'כח אדם - שכר'!#REF!</definedName>
    <definedName name="ziyud_cost">ציוד!$T$3:$T$52</definedName>
    <definedName name="ziyud_kamut">ציוד!$A$3:$A$52</definedName>
    <definedName name="ziyud_mispar_hodashim">ציוד!$S$3:$S$52</definedName>
    <definedName name="ziyud_takziv">ציוד!$U$3:$U$52</definedName>
    <definedName name="ziyud_teur">ציוד!$B$3:$B$52</definedName>
    <definedName name="טקסט1" localSheetId="1">'כח אדם - שכר'!$A$4</definedName>
    <definedName name="טקסט4" localSheetId="4">שונות!#REF!</definedName>
    <definedName name="נפתח1" localSheetId="1">'כח אדם - שכר'!#REF!</definedName>
    <definedName name="עדתאריך">'ראשי-פרטים כלליים וריכוז הוצאות'!$B$64:$B$94</definedName>
    <definedName name="קוד_שכר">'ראשי-פרטים כלליים וריכוז הוצאות'!$A$41:$A$46</definedName>
    <definedName name="רבעון">'ראשי-פרטים כלליים וריכוז הוצאות'!$A$49:$A$53</definedName>
    <definedName name="רבעון_ראשון">'ראשי-פרטים כלליים וריכוז הוצאות'!$A$50:$A$53</definedName>
    <definedName name="תאריך">'ראשי-פרטים כלליים וריכוז הוצאות'!$A$64:$A$94</definedName>
  </definedNames>
  <calcPr calcId="145621"/>
  <customWorkbookViews>
    <customWorkbookView name="BAKARA4 - תצוגה אישית" guid="{0C0A7354-1E68-4AF0-8238-6CB67405E9AA}" mergeInterval="0" personalView="1" maximized="1" windowWidth="796" windowHeight="397" tabRatio="691" activeSheetId="1"/>
  </customWorkbookViews>
</workbook>
</file>

<file path=xl/calcChain.xml><?xml version="1.0" encoding="utf-8"?>
<calcChain xmlns="http://schemas.openxmlformats.org/spreadsheetml/2006/main">
  <c r="G4" i="7" l="1"/>
  <c r="U4" i="6"/>
  <c r="U5" i="6"/>
  <c r="U6" i="6"/>
  <c r="U7" i="6"/>
  <c r="U8" i="6"/>
  <c r="U9" i="6"/>
  <c r="U10" i="6"/>
  <c r="U11" i="6"/>
  <c r="U12" i="6"/>
  <c r="U13" i="6"/>
  <c r="U14" i="6"/>
  <c r="U15" i="6"/>
  <c r="U16" i="6"/>
  <c r="U17" i="6"/>
  <c r="U18" i="6"/>
  <c r="U19" i="6"/>
  <c r="U20" i="6"/>
  <c r="U21" i="6"/>
  <c r="U22" i="6"/>
  <c r="U23" i="6"/>
  <c r="U24" i="6"/>
  <c r="U25" i="6"/>
  <c r="U26" i="6"/>
  <c r="U27" i="6"/>
  <c r="U28" i="6"/>
  <c r="U29" i="6"/>
  <c r="U30" i="6"/>
  <c r="U31" i="6"/>
  <c r="U32" i="6"/>
  <c r="U33" i="6"/>
  <c r="U34" i="6"/>
  <c r="U35" i="6"/>
  <c r="U36" i="6"/>
  <c r="U37" i="6"/>
  <c r="U38" i="6"/>
  <c r="U39" i="6"/>
  <c r="U40" i="6"/>
  <c r="U41" i="6"/>
  <c r="U42" i="6"/>
  <c r="U43" i="6"/>
  <c r="U44" i="6"/>
  <c r="U45" i="6"/>
  <c r="U46" i="6"/>
  <c r="U47" i="6"/>
  <c r="U48" i="6"/>
  <c r="U49" i="6"/>
  <c r="U50" i="6"/>
  <c r="U51" i="6"/>
  <c r="U52" i="6"/>
  <c r="N4" i="6"/>
  <c r="N5" i="6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C117" i="1" l="1"/>
  <c r="A69" i="11" s="1"/>
  <c r="A254" i="3" l="1"/>
  <c r="A69" i="6"/>
  <c r="A69" i="7"/>
  <c r="A69" i="8"/>
  <c r="A69" i="4"/>
  <c r="A69" i="9"/>
  <c r="F30" i="1"/>
  <c r="T42" i="11"/>
  <c r="P42" i="11"/>
  <c r="O42" i="11"/>
  <c r="M42" i="11"/>
  <c r="J42" i="11"/>
  <c r="Q42" i="11" s="1"/>
  <c r="I42" i="11"/>
  <c r="H42" i="11"/>
  <c r="G42" i="11"/>
  <c r="T41" i="11"/>
  <c r="P41" i="11"/>
  <c r="O41" i="11"/>
  <c r="M41" i="11"/>
  <c r="J41" i="11"/>
  <c r="Q41" i="11" s="1"/>
  <c r="I41" i="11"/>
  <c r="H41" i="11"/>
  <c r="G41" i="11"/>
  <c r="T40" i="11"/>
  <c r="P40" i="11"/>
  <c r="O40" i="11"/>
  <c r="M40" i="11"/>
  <c r="J40" i="11"/>
  <c r="I40" i="11"/>
  <c r="H40" i="11"/>
  <c r="G40" i="11"/>
  <c r="T39" i="11"/>
  <c r="P39" i="11"/>
  <c r="O39" i="11"/>
  <c r="M39" i="11"/>
  <c r="J39" i="11"/>
  <c r="Q39" i="11" s="1"/>
  <c r="I39" i="11"/>
  <c r="H39" i="11"/>
  <c r="G39" i="11"/>
  <c r="T38" i="11"/>
  <c r="P38" i="11"/>
  <c r="O38" i="11"/>
  <c r="M38" i="11"/>
  <c r="J38" i="11"/>
  <c r="Q38" i="11" s="1"/>
  <c r="I38" i="11"/>
  <c r="H38" i="11"/>
  <c r="G38" i="11"/>
  <c r="T37" i="11"/>
  <c r="P37" i="11"/>
  <c r="O37" i="11"/>
  <c r="M37" i="11"/>
  <c r="J37" i="11"/>
  <c r="Q37" i="11" s="1"/>
  <c r="I37" i="11"/>
  <c r="H37" i="11"/>
  <c r="G37" i="11"/>
  <c r="T36" i="11"/>
  <c r="P36" i="11"/>
  <c r="O36" i="11"/>
  <c r="M36" i="11"/>
  <c r="J36" i="11"/>
  <c r="Q36" i="11" s="1"/>
  <c r="I36" i="11"/>
  <c r="H36" i="11"/>
  <c r="G36" i="11"/>
  <c r="T35" i="11"/>
  <c r="P35" i="11"/>
  <c r="O35" i="11"/>
  <c r="M35" i="11"/>
  <c r="J35" i="11"/>
  <c r="Q35" i="11" s="1"/>
  <c r="I35" i="11"/>
  <c r="H35" i="11"/>
  <c r="G35" i="11"/>
  <c r="T34" i="11"/>
  <c r="P34" i="11"/>
  <c r="O34" i="11"/>
  <c r="M34" i="11"/>
  <c r="J34" i="11"/>
  <c r="Q34" i="11" s="1"/>
  <c r="I34" i="11"/>
  <c r="H34" i="11"/>
  <c r="G34" i="11"/>
  <c r="T33" i="11"/>
  <c r="P33" i="11"/>
  <c r="O33" i="11"/>
  <c r="M33" i="11"/>
  <c r="J33" i="11"/>
  <c r="Q33" i="11" s="1"/>
  <c r="I33" i="11"/>
  <c r="H33" i="11"/>
  <c r="G33" i="11"/>
  <c r="T32" i="11"/>
  <c r="P32" i="11"/>
  <c r="O32" i="11"/>
  <c r="M32" i="11"/>
  <c r="J32" i="11"/>
  <c r="Q32" i="11" s="1"/>
  <c r="I32" i="11"/>
  <c r="H32" i="11"/>
  <c r="G32" i="11"/>
  <c r="T31" i="11"/>
  <c r="P31" i="11"/>
  <c r="O31" i="11"/>
  <c r="M31" i="11"/>
  <c r="J31" i="11"/>
  <c r="Q31" i="11" s="1"/>
  <c r="I31" i="11"/>
  <c r="H31" i="11"/>
  <c r="G31" i="11"/>
  <c r="T30" i="11"/>
  <c r="P30" i="11"/>
  <c r="O30" i="11"/>
  <c r="M30" i="11"/>
  <c r="J30" i="11"/>
  <c r="Q30" i="11" s="1"/>
  <c r="I30" i="11"/>
  <c r="H30" i="11"/>
  <c r="G30" i="11"/>
  <c r="T29" i="11"/>
  <c r="P29" i="11"/>
  <c r="O29" i="11"/>
  <c r="M29" i="11"/>
  <c r="J29" i="11"/>
  <c r="Q29" i="11" s="1"/>
  <c r="I29" i="11"/>
  <c r="H29" i="11"/>
  <c r="G29" i="11"/>
  <c r="T28" i="11"/>
  <c r="P28" i="11"/>
  <c r="O28" i="11"/>
  <c r="M28" i="11"/>
  <c r="J28" i="11"/>
  <c r="Q28" i="11" s="1"/>
  <c r="I28" i="11"/>
  <c r="H28" i="11"/>
  <c r="G28" i="11"/>
  <c r="T27" i="11"/>
  <c r="P27" i="11"/>
  <c r="O27" i="11"/>
  <c r="M27" i="11"/>
  <c r="J27" i="11"/>
  <c r="Q27" i="11" s="1"/>
  <c r="I27" i="11"/>
  <c r="H27" i="11"/>
  <c r="G27" i="11"/>
  <c r="T26" i="11"/>
  <c r="P26" i="11"/>
  <c r="O26" i="11"/>
  <c r="M26" i="11"/>
  <c r="J26" i="11"/>
  <c r="Q26" i="11" s="1"/>
  <c r="I26" i="11"/>
  <c r="H26" i="11"/>
  <c r="G26" i="11"/>
  <c r="T25" i="11"/>
  <c r="P25" i="11"/>
  <c r="O25" i="11"/>
  <c r="M25" i="11"/>
  <c r="J25" i="11"/>
  <c r="Q25" i="11" s="1"/>
  <c r="I25" i="11"/>
  <c r="H25" i="11"/>
  <c r="G25" i="11"/>
  <c r="T24" i="11"/>
  <c r="P24" i="11"/>
  <c r="O24" i="11"/>
  <c r="M24" i="11"/>
  <c r="J24" i="11"/>
  <c r="Q24" i="11" s="1"/>
  <c r="I24" i="11"/>
  <c r="H24" i="11"/>
  <c r="G24" i="11"/>
  <c r="T23" i="11"/>
  <c r="P23" i="11"/>
  <c r="O23" i="11"/>
  <c r="M23" i="11"/>
  <c r="J23" i="11"/>
  <c r="Q23" i="11" s="1"/>
  <c r="I23" i="11"/>
  <c r="H23" i="11"/>
  <c r="G23" i="11"/>
  <c r="T22" i="11"/>
  <c r="P22" i="11"/>
  <c r="O22" i="11"/>
  <c r="M22" i="11"/>
  <c r="J22" i="11"/>
  <c r="Q22" i="11" s="1"/>
  <c r="I22" i="11"/>
  <c r="H22" i="11"/>
  <c r="G22" i="11"/>
  <c r="T21" i="11"/>
  <c r="P21" i="11"/>
  <c r="O21" i="11"/>
  <c r="M21" i="11"/>
  <c r="J21" i="11"/>
  <c r="Q21" i="11" s="1"/>
  <c r="I21" i="11"/>
  <c r="H21" i="11"/>
  <c r="G21" i="11"/>
  <c r="T20" i="11"/>
  <c r="P20" i="11"/>
  <c r="O20" i="11"/>
  <c r="M20" i="11"/>
  <c r="J20" i="11"/>
  <c r="Q20" i="11" s="1"/>
  <c r="I20" i="11"/>
  <c r="H20" i="11"/>
  <c r="G20" i="11"/>
  <c r="T19" i="11"/>
  <c r="P19" i="11"/>
  <c r="O19" i="11"/>
  <c r="M19" i="11"/>
  <c r="J19" i="11"/>
  <c r="Q19" i="11" s="1"/>
  <c r="I19" i="11"/>
  <c r="H19" i="11"/>
  <c r="G19" i="11"/>
  <c r="T18" i="11"/>
  <c r="P18" i="11"/>
  <c r="O18" i="11"/>
  <c r="M18" i="11"/>
  <c r="J18" i="11"/>
  <c r="Q18" i="11" s="1"/>
  <c r="I18" i="11"/>
  <c r="H18" i="11"/>
  <c r="G18" i="11"/>
  <c r="T17" i="11"/>
  <c r="P17" i="11"/>
  <c r="O17" i="11"/>
  <c r="M17" i="11"/>
  <c r="J17" i="11"/>
  <c r="Q17" i="11" s="1"/>
  <c r="I17" i="11"/>
  <c r="H17" i="11"/>
  <c r="G17" i="11"/>
  <c r="T16" i="11"/>
  <c r="P16" i="11"/>
  <c r="O16" i="11"/>
  <c r="M16" i="11"/>
  <c r="J16" i="11"/>
  <c r="Q16" i="11" s="1"/>
  <c r="I16" i="11"/>
  <c r="H16" i="11"/>
  <c r="G16" i="11"/>
  <c r="T15" i="11"/>
  <c r="P15" i="11"/>
  <c r="O15" i="11"/>
  <c r="M15" i="11"/>
  <c r="J15" i="11"/>
  <c r="Q15" i="11" s="1"/>
  <c r="I15" i="11"/>
  <c r="H15" i="11"/>
  <c r="G15" i="11"/>
  <c r="T14" i="11"/>
  <c r="P14" i="11"/>
  <c r="O14" i="11"/>
  <c r="M14" i="11"/>
  <c r="J14" i="11"/>
  <c r="Q14" i="11" s="1"/>
  <c r="I14" i="11"/>
  <c r="H14" i="11"/>
  <c r="G14" i="11"/>
  <c r="T13" i="11"/>
  <c r="P13" i="11"/>
  <c r="O13" i="11"/>
  <c r="M13" i="11"/>
  <c r="J13" i="11"/>
  <c r="Q13" i="11" s="1"/>
  <c r="I13" i="11"/>
  <c r="H13" i="11"/>
  <c r="G13" i="11"/>
  <c r="T12" i="11"/>
  <c r="P12" i="11"/>
  <c r="O12" i="11"/>
  <c r="M12" i="11"/>
  <c r="J12" i="11"/>
  <c r="Q12" i="11" s="1"/>
  <c r="I12" i="11"/>
  <c r="H12" i="11"/>
  <c r="G12" i="11"/>
  <c r="T11" i="11"/>
  <c r="P11" i="11"/>
  <c r="O11" i="11"/>
  <c r="M11" i="11"/>
  <c r="J11" i="11"/>
  <c r="Q11" i="11" s="1"/>
  <c r="I11" i="11"/>
  <c r="H11" i="11"/>
  <c r="G11" i="11"/>
  <c r="T10" i="11"/>
  <c r="P10" i="11"/>
  <c r="O10" i="11"/>
  <c r="M10" i="11"/>
  <c r="J10" i="11"/>
  <c r="Q10" i="11" s="1"/>
  <c r="I10" i="11"/>
  <c r="H10" i="11"/>
  <c r="G10" i="11"/>
  <c r="T9" i="11"/>
  <c r="P9" i="11"/>
  <c r="O9" i="11"/>
  <c r="M9" i="11"/>
  <c r="J9" i="11"/>
  <c r="Q9" i="11" s="1"/>
  <c r="I9" i="11"/>
  <c r="H9" i="11"/>
  <c r="G9" i="11"/>
  <c r="T8" i="11"/>
  <c r="P8" i="11"/>
  <c r="O8" i="11"/>
  <c r="M8" i="11"/>
  <c r="J8" i="11"/>
  <c r="Q8" i="11" s="1"/>
  <c r="I8" i="11"/>
  <c r="H8" i="11"/>
  <c r="G8" i="11"/>
  <c r="T7" i="11"/>
  <c r="P7" i="11"/>
  <c r="O7" i="11"/>
  <c r="M7" i="11"/>
  <c r="J7" i="11"/>
  <c r="Q7" i="11" s="1"/>
  <c r="I7" i="11"/>
  <c r="H7" i="11"/>
  <c r="G7" i="11"/>
  <c r="T6" i="11"/>
  <c r="P6" i="11"/>
  <c r="O6" i="11"/>
  <c r="M6" i="11"/>
  <c r="J6" i="11"/>
  <c r="Q6" i="11" s="1"/>
  <c r="I6" i="11"/>
  <c r="H6" i="11"/>
  <c r="G6" i="11"/>
  <c r="T5" i="11"/>
  <c r="P5" i="11"/>
  <c r="O5" i="11"/>
  <c r="M5" i="11"/>
  <c r="J5" i="11"/>
  <c r="Q5" i="11" s="1"/>
  <c r="I5" i="11"/>
  <c r="H5" i="11"/>
  <c r="G5" i="11"/>
  <c r="T4" i="11"/>
  <c r="P4" i="11"/>
  <c r="O4" i="11"/>
  <c r="M4" i="11"/>
  <c r="J4" i="11"/>
  <c r="Q4" i="11" s="1"/>
  <c r="I4" i="11"/>
  <c r="H4" i="11"/>
  <c r="G4" i="11"/>
  <c r="T3" i="11"/>
  <c r="P3" i="11"/>
  <c r="O3" i="11"/>
  <c r="M3" i="11"/>
  <c r="J3" i="11"/>
  <c r="Q3" i="11" s="1"/>
  <c r="I3" i="11"/>
  <c r="H3" i="11"/>
  <c r="G3" i="11"/>
  <c r="F1" i="11"/>
  <c r="R25" i="11" l="1"/>
  <c r="R28" i="11"/>
  <c r="R33" i="11"/>
  <c r="R36" i="11"/>
  <c r="R41" i="11"/>
  <c r="K5" i="11"/>
  <c r="K38" i="11"/>
  <c r="R26" i="11"/>
  <c r="K11" i="11"/>
  <c r="K40" i="11"/>
  <c r="R4" i="11"/>
  <c r="R6" i="11"/>
  <c r="R9" i="11"/>
  <c r="R14" i="11"/>
  <c r="R5" i="11"/>
  <c r="R17" i="11"/>
  <c r="K24" i="11"/>
  <c r="K13" i="11"/>
  <c r="K20" i="11"/>
  <c r="K23" i="11"/>
  <c r="K4" i="11"/>
  <c r="K19" i="11"/>
  <c r="K22" i="11"/>
  <c r="K25" i="11"/>
  <c r="K26" i="11"/>
  <c r="R39" i="11"/>
  <c r="R13" i="11"/>
  <c r="R15" i="11"/>
  <c r="K33" i="11"/>
  <c r="K34" i="11"/>
  <c r="K36" i="11"/>
  <c r="Q40" i="11"/>
  <c r="R40" i="11" s="1"/>
  <c r="K9" i="11"/>
  <c r="K10" i="11"/>
  <c r="K12" i="11"/>
  <c r="K37" i="11"/>
  <c r="K39" i="11"/>
  <c r="R29" i="11"/>
  <c r="R31" i="11"/>
  <c r="K32" i="11"/>
  <c r="R18" i="11"/>
  <c r="R11" i="11"/>
  <c r="K17" i="11"/>
  <c r="R23" i="11"/>
  <c r="K29" i="11"/>
  <c r="K30" i="11"/>
  <c r="K31" i="11"/>
  <c r="R35" i="11"/>
  <c r="K41" i="11"/>
  <c r="K42" i="11"/>
  <c r="K6" i="11"/>
  <c r="K7" i="11"/>
  <c r="R12" i="11"/>
  <c r="K18" i="11"/>
  <c r="R24" i="11"/>
  <c r="R16" i="11"/>
  <c r="R30" i="11"/>
  <c r="R42" i="11"/>
  <c r="R32" i="11"/>
  <c r="R10" i="11"/>
  <c r="K14" i="11"/>
  <c r="K15" i="11"/>
  <c r="R20" i="11"/>
  <c r="R21" i="11"/>
  <c r="R22" i="11"/>
  <c r="K28" i="11"/>
  <c r="R34" i="11"/>
  <c r="R7" i="11"/>
  <c r="G43" i="11"/>
  <c r="D30" i="1" s="1"/>
  <c r="K3" i="11"/>
  <c r="R37" i="11"/>
  <c r="R38" i="11"/>
  <c r="R3" i="11"/>
  <c r="R27" i="11"/>
  <c r="R8" i="11"/>
  <c r="R19" i="11"/>
  <c r="K16" i="11"/>
  <c r="K27" i="11"/>
  <c r="K35" i="11"/>
  <c r="K8" i="11"/>
  <c r="K43" i="11" l="1"/>
  <c r="G30" i="1" s="1"/>
  <c r="R43" i="11"/>
  <c r="J30" i="1" s="1"/>
  <c r="A69" i="10"/>
  <c r="A259" i="3"/>
  <c r="A68" i="7"/>
  <c r="A253" i="3"/>
  <c r="A68" i="6"/>
  <c r="B68" i="6" s="1"/>
  <c r="A68" i="4"/>
  <c r="A68" i="8"/>
  <c r="N5" i="3"/>
  <c r="O5" i="3"/>
  <c r="P5" i="3"/>
  <c r="Q5" i="3"/>
  <c r="S5" i="3" s="1"/>
  <c r="N6" i="3"/>
  <c r="O6" i="3"/>
  <c r="P6" i="3"/>
  <c r="Q6" i="3"/>
  <c r="S6" i="3" s="1"/>
  <c r="N7" i="3"/>
  <c r="O7" i="3"/>
  <c r="P7" i="3"/>
  <c r="Q7" i="3"/>
  <c r="S7" i="3" s="1"/>
  <c r="N8" i="3"/>
  <c r="O8" i="3"/>
  <c r="P8" i="3"/>
  <c r="Q8" i="3"/>
  <c r="S8" i="3" s="1"/>
  <c r="N9" i="3"/>
  <c r="O9" i="3"/>
  <c r="P9" i="3"/>
  <c r="Q9" i="3"/>
  <c r="S9" i="3" s="1"/>
  <c r="N10" i="3"/>
  <c r="O10" i="3"/>
  <c r="P10" i="3"/>
  <c r="Q10" i="3"/>
  <c r="S10" i="3" s="1"/>
  <c r="N11" i="3"/>
  <c r="O11" i="3"/>
  <c r="P11" i="3"/>
  <c r="Q11" i="3"/>
  <c r="S11" i="3" s="1"/>
  <c r="N12" i="3"/>
  <c r="O12" i="3"/>
  <c r="P12" i="3"/>
  <c r="Q12" i="3"/>
  <c r="S12" i="3" s="1"/>
  <c r="N13" i="3"/>
  <c r="O13" i="3"/>
  <c r="P13" i="3"/>
  <c r="Q13" i="3"/>
  <c r="S13" i="3" s="1"/>
  <c r="N14" i="3"/>
  <c r="O14" i="3"/>
  <c r="P14" i="3"/>
  <c r="Q14" i="3"/>
  <c r="S14" i="3" s="1"/>
  <c r="N15" i="3"/>
  <c r="O15" i="3"/>
  <c r="P15" i="3"/>
  <c r="Q15" i="3"/>
  <c r="S15" i="3" s="1"/>
  <c r="N16" i="3"/>
  <c r="O16" i="3"/>
  <c r="P16" i="3"/>
  <c r="Q16" i="3"/>
  <c r="S16" i="3" s="1"/>
  <c r="N17" i="3"/>
  <c r="O17" i="3"/>
  <c r="P17" i="3"/>
  <c r="Q17" i="3"/>
  <c r="S17" i="3" s="1"/>
  <c r="N18" i="3"/>
  <c r="O18" i="3"/>
  <c r="P18" i="3"/>
  <c r="Q18" i="3"/>
  <c r="S18" i="3" s="1"/>
  <c r="N19" i="3"/>
  <c r="O19" i="3"/>
  <c r="P19" i="3"/>
  <c r="Q19" i="3"/>
  <c r="S19" i="3" s="1"/>
  <c r="N20" i="3"/>
  <c r="O20" i="3"/>
  <c r="P20" i="3"/>
  <c r="Q20" i="3"/>
  <c r="S20" i="3" s="1"/>
  <c r="N21" i="3"/>
  <c r="O21" i="3"/>
  <c r="P21" i="3"/>
  <c r="Q21" i="3"/>
  <c r="S21" i="3" s="1"/>
  <c r="N22" i="3"/>
  <c r="O22" i="3"/>
  <c r="P22" i="3"/>
  <c r="Q22" i="3"/>
  <c r="S22" i="3" s="1"/>
  <c r="N23" i="3"/>
  <c r="O23" i="3"/>
  <c r="P23" i="3"/>
  <c r="Q23" i="3"/>
  <c r="S23" i="3" s="1"/>
  <c r="N24" i="3"/>
  <c r="O24" i="3"/>
  <c r="P24" i="3"/>
  <c r="Q24" i="3"/>
  <c r="S24" i="3" s="1"/>
  <c r="N25" i="3"/>
  <c r="O25" i="3"/>
  <c r="P25" i="3"/>
  <c r="Q25" i="3"/>
  <c r="S25" i="3" s="1"/>
  <c r="N26" i="3"/>
  <c r="O26" i="3"/>
  <c r="P26" i="3"/>
  <c r="Q26" i="3"/>
  <c r="S26" i="3" s="1"/>
  <c r="N27" i="3"/>
  <c r="O27" i="3"/>
  <c r="P27" i="3"/>
  <c r="Q27" i="3"/>
  <c r="S27" i="3" s="1"/>
  <c r="N28" i="3"/>
  <c r="O28" i="3"/>
  <c r="P28" i="3"/>
  <c r="Q28" i="3"/>
  <c r="S28" i="3" s="1"/>
  <c r="N29" i="3"/>
  <c r="O29" i="3"/>
  <c r="P29" i="3"/>
  <c r="Q29" i="3"/>
  <c r="S29" i="3" s="1"/>
  <c r="N30" i="3"/>
  <c r="O30" i="3"/>
  <c r="P30" i="3"/>
  <c r="Q30" i="3"/>
  <c r="S30" i="3" s="1"/>
  <c r="N31" i="3"/>
  <c r="O31" i="3"/>
  <c r="P31" i="3"/>
  <c r="Q31" i="3"/>
  <c r="S31" i="3" s="1"/>
  <c r="N32" i="3"/>
  <c r="O32" i="3"/>
  <c r="P32" i="3"/>
  <c r="Q32" i="3"/>
  <c r="S32" i="3" s="1"/>
  <c r="N33" i="3"/>
  <c r="O33" i="3"/>
  <c r="P33" i="3"/>
  <c r="Q33" i="3"/>
  <c r="S33" i="3" s="1"/>
  <c r="N34" i="3"/>
  <c r="O34" i="3"/>
  <c r="P34" i="3"/>
  <c r="Q34" i="3"/>
  <c r="S34" i="3" s="1"/>
  <c r="N35" i="3"/>
  <c r="O35" i="3"/>
  <c r="P35" i="3"/>
  <c r="Q35" i="3"/>
  <c r="S35" i="3" s="1"/>
  <c r="N36" i="3"/>
  <c r="O36" i="3"/>
  <c r="P36" i="3"/>
  <c r="Q36" i="3"/>
  <c r="S36" i="3" s="1"/>
  <c r="N37" i="3"/>
  <c r="O37" i="3"/>
  <c r="P37" i="3"/>
  <c r="Q37" i="3"/>
  <c r="S37" i="3" s="1"/>
  <c r="N38" i="3"/>
  <c r="O38" i="3"/>
  <c r="P38" i="3"/>
  <c r="Q38" i="3"/>
  <c r="S38" i="3" s="1"/>
  <c r="N39" i="3"/>
  <c r="O39" i="3"/>
  <c r="P39" i="3"/>
  <c r="Q39" i="3"/>
  <c r="S39" i="3" s="1"/>
  <c r="N40" i="3"/>
  <c r="O40" i="3"/>
  <c r="P40" i="3"/>
  <c r="Q40" i="3"/>
  <c r="S40" i="3" s="1"/>
  <c r="N41" i="3"/>
  <c r="O41" i="3"/>
  <c r="P41" i="3"/>
  <c r="Q41" i="3"/>
  <c r="S41" i="3" s="1"/>
  <c r="N42" i="3"/>
  <c r="O42" i="3"/>
  <c r="P42" i="3"/>
  <c r="Q42" i="3"/>
  <c r="S42" i="3" s="1"/>
  <c r="N43" i="3"/>
  <c r="O43" i="3"/>
  <c r="P43" i="3"/>
  <c r="Q43" i="3"/>
  <c r="S43" i="3" s="1"/>
  <c r="N44" i="3"/>
  <c r="O44" i="3"/>
  <c r="P44" i="3"/>
  <c r="Q44" i="3"/>
  <c r="S44" i="3" s="1"/>
  <c r="N45" i="3"/>
  <c r="O45" i="3"/>
  <c r="P45" i="3"/>
  <c r="Q45" i="3"/>
  <c r="S45" i="3" s="1"/>
  <c r="N46" i="3"/>
  <c r="O46" i="3"/>
  <c r="P46" i="3"/>
  <c r="Q46" i="3"/>
  <c r="S46" i="3" s="1"/>
  <c r="N47" i="3"/>
  <c r="O47" i="3"/>
  <c r="P47" i="3"/>
  <c r="Q47" i="3"/>
  <c r="S47" i="3" s="1"/>
  <c r="N48" i="3"/>
  <c r="O48" i="3"/>
  <c r="P48" i="3"/>
  <c r="Q48" i="3"/>
  <c r="S48" i="3" s="1"/>
  <c r="N49" i="3"/>
  <c r="O49" i="3"/>
  <c r="P49" i="3"/>
  <c r="Q49" i="3"/>
  <c r="S49" i="3" s="1"/>
  <c r="N50" i="3"/>
  <c r="O50" i="3"/>
  <c r="P50" i="3"/>
  <c r="Q50" i="3"/>
  <c r="S50" i="3" s="1"/>
  <c r="N51" i="3"/>
  <c r="O51" i="3"/>
  <c r="P51" i="3"/>
  <c r="Q51" i="3"/>
  <c r="S51" i="3" s="1"/>
  <c r="N52" i="3"/>
  <c r="O52" i="3"/>
  <c r="P52" i="3"/>
  <c r="Q52" i="3"/>
  <c r="S52" i="3" s="1"/>
  <c r="N53" i="3"/>
  <c r="O53" i="3"/>
  <c r="P53" i="3"/>
  <c r="Q53" i="3"/>
  <c r="S53" i="3" s="1"/>
  <c r="N54" i="3"/>
  <c r="O54" i="3"/>
  <c r="P54" i="3"/>
  <c r="Q54" i="3"/>
  <c r="S54" i="3" s="1"/>
  <c r="N55" i="3"/>
  <c r="O55" i="3"/>
  <c r="P55" i="3"/>
  <c r="Q55" i="3"/>
  <c r="S55" i="3" s="1"/>
  <c r="N56" i="3"/>
  <c r="O56" i="3"/>
  <c r="P56" i="3"/>
  <c r="Q56" i="3"/>
  <c r="S56" i="3" s="1"/>
  <c r="N57" i="3"/>
  <c r="O57" i="3"/>
  <c r="P57" i="3"/>
  <c r="Q57" i="3"/>
  <c r="S57" i="3" s="1"/>
  <c r="N58" i="3"/>
  <c r="O58" i="3"/>
  <c r="P58" i="3"/>
  <c r="Q58" i="3"/>
  <c r="S58" i="3" s="1"/>
  <c r="N59" i="3"/>
  <c r="O59" i="3"/>
  <c r="P59" i="3"/>
  <c r="Q59" i="3"/>
  <c r="S59" i="3" s="1"/>
  <c r="N60" i="3"/>
  <c r="O60" i="3"/>
  <c r="P60" i="3"/>
  <c r="Q60" i="3"/>
  <c r="S60" i="3" s="1"/>
  <c r="N61" i="3"/>
  <c r="O61" i="3"/>
  <c r="P61" i="3"/>
  <c r="Q61" i="3"/>
  <c r="S61" i="3" s="1"/>
  <c r="N62" i="3"/>
  <c r="O62" i="3"/>
  <c r="P62" i="3"/>
  <c r="Q62" i="3"/>
  <c r="S62" i="3" s="1"/>
  <c r="N63" i="3"/>
  <c r="O63" i="3"/>
  <c r="P63" i="3"/>
  <c r="Q63" i="3"/>
  <c r="S63" i="3" s="1"/>
  <c r="N64" i="3"/>
  <c r="O64" i="3"/>
  <c r="P64" i="3"/>
  <c r="Q64" i="3"/>
  <c r="S64" i="3" s="1"/>
  <c r="N65" i="3"/>
  <c r="O65" i="3"/>
  <c r="P65" i="3"/>
  <c r="Q65" i="3"/>
  <c r="S65" i="3" s="1"/>
  <c r="N66" i="3"/>
  <c r="O66" i="3"/>
  <c r="P66" i="3"/>
  <c r="Q66" i="3"/>
  <c r="S66" i="3" s="1"/>
  <c r="N67" i="3"/>
  <c r="O67" i="3"/>
  <c r="P67" i="3"/>
  <c r="Q67" i="3"/>
  <c r="S67" i="3" s="1"/>
  <c r="N68" i="3"/>
  <c r="O68" i="3"/>
  <c r="P68" i="3"/>
  <c r="Q68" i="3"/>
  <c r="S68" i="3" s="1"/>
  <c r="N69" i="3"/>
  <c r="O69" i="3"/>
  <c r="P69" i="3"/>
  <c r="Q69" i="3"/>
  <c r="S69" i="3" s="1"/>
  <c r="N70" i="3"/>
  <c r="O70" i="3"/>
  <c r="P70" i="3"/>
  <c r="Q70" i="3"/>
  <c r="S70" i="3" s="1"/>
  <c r="N71" i="3"/>
  <c r="O71" i="3"/>
  <c r="P71" i="3"/>
  <c r="Q71" i="3"/>
  <c r="S71" i="3" s="1"/>
  <c r="N72" i="3"/>
  <c r="O72" i="3"/>
  <c r="P72" i="3"/>
  <c r="Q72" i="3"/>
  <c r="S72" i="3" s="1"/>
  <c r="N73" i="3"/>
  <c r="O73" i="3"/>
  <c r="P73" i="3"/>
  <c r="Q73" i="3"/>
  <c r="S73" i="3" s="1"/>
  <c r="N74" i="3"/>
  <c r="O74" i="3"/>
  <c r="P74" i="3"/>
  <c r="Q74" i="3"/>
  <c r="S74" i="3" s="1"/>
  <c r="N75" i="3"/>
  <c r="O75" i="3"/>
  <c r="P75" i="3"/>
  <c r="Q75" i="3"/>
  <c r="S75" i="3" s="1"/>
  <c r="N76" i="3"/>
  <c r="O76" i="3"/>
  <c r="P76" i="3"/>
  <c r="Q76" i="3"/>
  <c r="S76" i="3" s="1"/>
  <c r="N77" i="3"/>
  <c r="O77" i="3"/>
  <c r="P77" i="3"/>
  <c r="Q77" i="3"/>
  <c r="S77" i="3" s="1"/>
  <c r="N78" i="3"/>
  <c r="O78" i="3"/>
  <c r="P78" i="3"/>
  <c r="Q78" i="3"/>
  <c r="S78" i="3" s="1"/>
  <c r="N79" i="3"/>
  <c r="O79" i="3"/>
  <c r="P79" i="3"/>
  <c r="Q79" i="3"/>
  <c r="S79" i="3" s="1"/>
  <c r="N80" i="3"/>
  <c r="O80" i="3"/>
  <c r="P80" i="3"/>
  <c r="Q80" i="3"/>
  <c r="S80" i="3" s="1"/>
  <c r="N81" i="3"/>
  <c r="O81" i="3"/>
  <c r="P81" i="3"/>
  <c r="Q81" i="3"/>
  <c r="S81" i="3" s="1"/>
  <c r="N82" i="3"/>
  <c r="O82" i="3"/>
  <c r="P82" i="3"/>
  <c r="Q82" i="3"/>
  <c r="S82" i="3" s="1"/>
  <c r="N83" i="3"/>
  <c r="O83" i="3"/>
  <c r="P83" i="3"/>
  <c r="Q83" i="3"/>
  <c r="S83" i="3" s="1"/>
  <c r="N84" i="3"/>
  <c r="O84" i="3"/>
  <c r="P84" i="3"/>
  <c r="Q84" i="3"/>
  <c r="S84" i="3" s="1"/>
  <c r="N85" i="3"/>
  <c r="O85" i="3"/>
  <c r="P85" i="3"/>
  <c r="Q85" i="3"/>
  <c r="S85" i="3" s="1"/>
  <c r="N86" i="3"/>
  <c r="O86" i="3"/>
  <c r="P86" i="3"/>
  <c r="Q86" i="3"/>
  <c r="S86" i="3" s="1"/>
  <c r="N87" i="3"/>
  <c r="O87" i="3"/>
  <c r="P87" i="3"/>
  <c r="Q87" i="3"/>
  <c r="S87" i="3" s="1"/>
  <c r="N88" i="3"/>
  <c r="O88" i="3"/>
  <c r="P88" i="3"/>
  <c r="Q88" i="3"/>
  <c r="S88" i="3" s="1"/>
  <c r="N89" i="3"/>
  <c r="O89" i="3"/>
  <c r="P89" i="3"/>
  <c r="Q89" i="3"/>
  <c r="S89" i="3" s="1"/>
  <c r="N90" i="3"/>
  <c r="O90" i="3"/>
  <c r="P90" i="3"/>
  <c r="Q90" i="3"/>
  <c r="S90" i="3" s="1"/>
  <c r="N91" i="3"/>
  <c r="O91" i="3"/>
  <c r="P91" i="3"/>
  <c r="Q91" i="3"/>
  <c r="S91" i="3" s="1"/>
  <c r="N92" i="3"/>
  <c r="O92" i="3"/>
  <c r="P92" i="3"/>
  <c r="Q92" i="3"/>
  <c r="S92" i="3" s="1"/>
  <c r="N93" i="3"/>
  <c r="O93" i="3"/>
  <c r="P93" i="3"/>
  <c r="Q93" i="3"/>
  <c r="S93" i="3" s="1"/>
  <c r="N94" i="3"/>
  <c r="O94" i="3"/>
  <c r="P94" i="3"/>
  <c r="Q94" i="3"/>
  <c r="S94" i="3" s="1"/>
  <c r="N95" i="3"/>
  <c r="O95" i="3"/>
  <c r="P95" i="3"/>
  <c r="Q95" i="3"/>
  <c r="S95" i="3" s="1"/>
  <c r="N96" i="3"/>
  <c r="O96" i="3"/>
  <c r="P96" i="3"/>
  <c r="Q96" i="3"/>
  <c r="S96" i="3" s="1"/>
  <c r="N97" i="3"/>
  <c r="O97" i="3"/>
  <c r="P97" i="3"/>
  <c r="Q97" i="3"/>
  <c r="S97" i="3" s="1"/>
  <c r="N98" i="3"/>
  <c r="O98" i="3"/>
  <c r="P98" i="3"/>
  <c r="Q98" i="3"/>
  <c r="S98" i="3" s="1"/>
  <c r="N99" i="3"/>
  <c r="O99" i="3"/>
  <c r="P99" i="3"/>
  <c r="Q99" i="3"/>
  <c r="S99" i="3" s="1"/>
  <c r="N100" i="3"/>
  <c r="O100" i="3"/>
  <c r="P100" i="3"/>
  <c r="Q100" i="3"/>
  <c r="S100" i="3" s="1"/>
  <c r="N101" i="3"/>
  <c r="O101" i="3"/>
  <c r="P101" i="3"/>
  <c r="Q101" i="3"/>
  <c r="S101" i="3" s="1"/>
  <c r="N102" i="3"/>
  <c r="O102" i="3"/>
  <c r="P102" i="3"/>
  <c r="Q102" i="3"/>
  <c r="S102" i="3" s="1"/>
  <c r="N103" i="3"/>
  <c r="O103" i="3"/>
  <c r="P103" i="3"/>
  <c r="Q103" i="3"/>
  <c r="S103" i="3" s="1"/>
  <c r="N104" i="3"/>
  <c r="O104" i="3"/>
  <c r="P104" i="3"/>
  <c r="Q104" i="3"/>
  <c r="S104" i="3" s="1"/>
  <c r="N105" i="3"/>
  <c r="O105" i="3"/>
  <c r="P105" i="3"/>
  <c r="Q105" i="3"/>
  <c r="S105" i="3" s="1"/>
  <c r="N106" i="3"/>
  <c r="O106" i="3"/>
  <c r="P106" i="3"/>
  <c r="Q106" i="3"/>
  <c r="S106" i="3" s="1"/>
  <c r="N107" i="3"/>
  <c r="O107" i="3"/>
  <c r="P107" i="3"/>
  <c r="Q107" i="3"/>
  <c r="S107" i="3" s="1"/>
  <c r="N108" i="3"/>
  <c r="O108" i="3"/>
  <c r="P108" i="3"/>
  <c r="Q108" i="3"/>
  <c r="S108" i="3" s="1"/>
  <c r="N109" i="3"/>
  <c r="O109" i="3"/>
  <c r="P109" i="3"/>
  <c r="Q109" i="3"/>
  <c r="S109" i="3" s="1"/>
  <c r="N110" i="3"/>
  <c r="O110" i="3"/>
  <c r="P110" i="3"/>
  <c r="Q110" i="3"/>
  <c r="S110" i="3" s="1"/>
  <c r="N111" i="3"/>
  <c r="O111" i="3"/>
  <c r="P111" i="3"/>
  <c r="Q111" i="3"/>
  <c r="S111" i="3" s="1"/>
  <c r="N112" i="3"/>
  <c r="O112" i="3"/>
  <c r="P112" i="3"/>
  <c r="Q112" i="3"/>
  <c r="S112" i="3" s="1"/>
  <c r="N113" i="3"/>
  <c r="O113" i="3"/>
  <c r="P113" i="3"/>
  <c r="Q113" i="3"/>
  <c r="S113" i="3" s="1"/>
  <c r="N114" i="3"/>
  <c r="O114" i="3"/>
  <c r="P114" i="3"/>
  <c r="Q114" i="3"/>
  <c r="S114" i="3" s="1"/>
  <c r="N115" i="3"/>
  <c r="O115" i="3"/>
  <c r="P115" i="3"/>
  <c r="Q115" i="3"/>
  <c r="S115" i="3" s="1"/>
  <c r="N116" i="3"/>
  <c r="O116" i="3"/>
  <c r="P116" i="3"/>
  <c r="Q116" i="3"/>
  <c r="S116" i="3" s="1"/>
  <c r="N117" i="3"/>
  <c r="O117" i="3"/>
  <c r="P117" i="3"/>
  <c r="Q117" i="3"/>
  <c r="S117" i="3" s="1"/>
  <c r="N118" i="3"/>
  <c r="O118" i="3"/>
  <c r="P118" i="3"/>
  <c r="Q118" i="3"/>
  <c r="S118" i="3" s="1"/>
  <c r="N119" i="3"/>
  <c r="O119" i="3"/>
  <c r="P119" i="3"/>
  <c r="Q119" i="3"/>
  <c r="S119" i="3" s="1"/>
  <c r="N120" i="3"/>
  <c r="O120" i="3"/>
  <c r="P120" i="3"/>
  <c r="Q120" i="3"/>
  <c r="S120" i="3" s="1"/>
  <c r="N121" i="3"/>
  <c r="O121" i="3"/>
  <c r="P121" i="3"/>
  <c r="Q121" i="3"/>
  <c r="S121" i="3" s="1"/>
  <c r="N122" i="3"/>
  <c r="O122" i="3"/>
  <c r="P122" i="3"/>
  <c r="Q122" i="3"/>
  <c r="S122" i="3" s="1"/>
  <c r="N123" i="3"/>
  <c r="O123" i="3"/>
  <c r="P123" i="3"/>
  <c r="Q123" i="3"/>
  <c r="S123" i="3" s="1"/>
  <c r="N124" i="3"/>
  <c r="O124" i="3"/>
  <c r="P124" i="3"/>
  <c r="Q124" i="3"/>
  <c r="S124" i="3" s="1"/>
  <c r="N125" i="3"/>
  <c r="O125" i="3"/>
  <c r="P125" i="3"/>
  <c r="Q125" i="3"/>
  <c r="S125" i="3" s="1"/>
  <c r="N126" i="3"/>
  <c r="O126" i="3"/>
  <c r="P126" i="3"/>
  <c r="Q126" i="3"/>
  <c r="S126" i="3" s="1"/>
  <c r="N127" i="3"/>
  <c r="O127" i="3"/>
  <c r="P127" i="3"/>
  <c r="Q127" i="3"/>
  <c r="S127" i="3" s="1"/>
  <c r="N128" i="3"/>
  <c r="O128" i="3"/>
  <c r="P128" i="3"/>
  <c r="Q128" i="3"/>
  <c r="S128" i="3" s="1"/>
  <c r="N129" i="3"/>
  <c r="O129" i="3"/>
  <c r="P129" i="3"/>
  <c r="Q129" i="3"/>
  <c r="S129" i="3" s="1"/>
  <c r="N130" i="3"/>
  <c r="O130" i="3"/>
  <c r="P130" i="3"/>
  <c r="Q130" i="3"/>
  <c r="S130" i="3" s="1"/>
  <c r="N131" i="3"/>
  <c r="O131" i="3"/>
  <c r="P131" i="3"/>
  <c r="Q131" i="3"/>
  <c r="S131" i="3" s="1"/>
  <c r="N132" i="3"/>
  <c r="O132" i="3"/>
  <c r="P132" i="3"/>
  <c r="Q132" i="3"/>
  <c r="S132" i="3" s="1"/>
  <c r="N133" i="3"/>
  <c r="O133" i="3"/>
  <c r="P133" i="3"/>
  <c r="Q133" i="3"/>
  <c r="S133" i="3" s="1"/>
  <c r="N134" i="3"/>
  <c r="O134" i="3"/>
  <c r="P134" i="3"/>
  <c r="Q134" i="3"/>
  <c r="S134" i="3" s="1"/>
  <c r="N135" i="3"/>
  <c r="O135" i="3"/>
  <c r="P135" i="3"/>
  <c r="Q135" i="3"/>
  <c r="S135" i="3" s="1"/>
  <c r="N136" i="3"/>
  <c r="O136" i="3"/>
  <c r="P136" i="3"/>
  <c r="Q136" i="3"/>
  <c r="S136" i="3" s="1"/>
  <c r="N137" i="3"/>
  <c r="O137" i="3"/>
  <c r="P137" i="3"/>
  <c r="Q137" i="3"/>
  <c r="S137" i="3" s="1"/>
  <c r="N138" i="3"/>
  <c r="O138" i="3"/>
  <c r="P138" i="3"/>
  <c r="Q138" i="3"/>
  <c r="S138" i="3" s="1"/>
  <c r="N139" i="3"/>
  <c r="O139" i="3"/>
  <c r="P139" i="3"/>
  <c r="Q139" i="3"/>
  <c r="S139" i="3" s="1"/>
  <c r="N140" i="3"/>
  <c r="O140" i="3"/>
  <c r="P140" i="3"/>
  <c r="Q140" i="3"/>
  <c r="S140" i="3" s="1"/>
  <c r="N141" i="3"/>
  <c r="O141" i="3"/>
  <c r="P141" i="3"/>
  <c r="Q141" i="3"/>
  <c r="S141" i="3" s="1"/>
  <c r="N142" i="3"/>
  <c r="O142" i="3"/>
  <c r="P142" i="3"/>
  <c r="Q142" i="3"/>
  <c r="S142" i="3" s="1"/>
  <c r="N143" i="3"/>
  <c r="O143" i="3"/>
  <c r="P143" i="3"/>
  <c r="Q143" i="3"/>
  <c r="S143" i="3" s="1"/>
  <c r="N144" i="3"/>
  <c r="O144" i="3"/>
  <c r="P144" i="3"/>
  <c r="Q144" i="3"/>
  <c r="S144" i="3" s="1"/>
  <c r="N145" i="3"/>
  <c r="O145" i="3"/>
  <c r="P145" i="3"/>
  <c r="Q145" i="3"/>
  <c r="S145" i="3" s="1"/>
  <c r="N146" i="3"/>
  <c r="O146" i="3"/>
  <c r="P146" i="3"/>
  <c r="Q146" i="3"/>
  <c r="S146" i="3" s="1"/>
  <c r="N147" i="3"/>
  <c r="O147" i="3"/>
  <c r="P147" i="3"/>
  <c r="Q147" i="3"/>
  <c r="S147" i="3" s="1"/>
  <c r="N148" i="3"/>
  <c r="O148" i="3"/>
  <c r="P148" i="3"/>
  <c r="Q148" i="3"/>
  <c r="S148" i="3" s="1"/>
  <c r="N149" i="3"/>
  <c r="O149" i="3"/>
  <c r="P149" i="3"/>
  <c r="Q149" i="3"/>
  <c r="S149" i="3" s="1"/>
  <c r="N150" i="3"/>
  <c r="O150" i="3"/>
  <c r="P150" i="3"/>
  <c r="Q150" i="3"/>
  <c r="S150" i="3" s="1"/>
  <c r="N151" i="3"/>
  <c r="O151" i="3"/>
  <c r="P151" i="3"/>
  <c r="Q151" i="3"/>
  <c r="S151" i="3" s="1"/>
  <c r="N152" i="3"/>
  <c r="O152" i="3"/>
  <c r="P152" i="3"/>
  <c r="Q152" i="3"/>
  <c r="S152" i="3" s="1"/>
  <c r="N153" i="3"/>
  <c r="O153" i="3"/>
  <c r="P153" i="3"/>
  <c r="Q153" i="3"/>
  <c r="S153" i="3" s="1"/>
  <c r="N154" i="3"/>
  <c r="O154" i="3"/>
  <c r="P154" i="3"/>
  <c r="Q154" i="3"/>
  <c r="S154" i="3" s="1"/>
  <c r="N155" i="3"/>
  <c r="O155" i="3"/>
  <c r="P155" i="3"/>
  <c r="Q155" i="3"/>
  <c r="S155" i="3" s="1"/>
  <c r="N156" i="3"/>
  <c r="O156" i="3"/>
  <c r="P156" i="3"/>
  <c r="Q156" i="3"/>
  <c r="S156" i="3" s="1"/>
  <c r="N157" i="3"/>
  <c r="O157" i="3"/>
  <c r="P157" i="3"/>
  <c r="Q157" i="3"/>
  <c r="S157" i="3" s="1"/>
  <c r="N158" i="3"/>
  <c r="O158" i="3"/>
  <c r="P158" i="3"/>
  <c r="Q158" i="3"/>
  <c r="S158" i="3" s="1"/>
  <c r="N159" i="3"/>
  <c r="O159" i="3"/>
  <c r="P159" i="3"/>
  <c r="Q159" i="3"/>
  <c r="S159" i="3" s="1"/>
  <c r="N160" i="3"/>
  <c r="O160" i="3"/>
  <c r="P160" i="3"/>
  <c r="Q160" i="3"/>
  <c r="S160" i="3" s="1"/>
  <c r="N161" i="3"/>
  <c r="O161" i="3"/>
  <c r="P161" i="3"/>
  <c r="Q161" i="3"/>
  <c r="S161" i="3" s="1"/>
  <c r="N162" i="3"/>
  <c r="O162" i="3"/>
  <c r="P162" i="3"/>
  <c r="Q162" i="3"/>
  <c r="S162" i="3" s="1"/>
  <c r="N163" i="3"/>
  <c r="O163" i="3"/>
  <c r="P163" i="3"/>
  <c r="Q163" i="3"/>
  <c r="S163" i="3" s="1"/>
  <c r="N164" i="3"/>
  <c r="O164" i="3"/>
  <c r="P164" i="3"/>
  <c r="Q164" i="3"/>
  <c r="S164" i="3" s="1"/>
  <c r="N165" i="3"/>
  <c r="O165" i="3"/>
  <c r="P165" i="3"/>
  <c r="Q165" i="3"/>
  <c r="S165" i="3" s="1"/>
  <c r="N166" i="3"/>
  <c r="O166" i="3"/>
  <c r="P166" i="3"/>
  <c r="Q166" i="3"/>
  <c r="S166" i="3" s="1"/>
  <c r="N167" i="3"/>
  <c r="O167" i="3"/>
  <c r="P167" i="3"/>
  <c r="Q167" i="3"/>
  <c r="S167" i="3" s="1"/>
  <c r="N168" i="3"/>
  <c r="O168" i="3"/>
  <c r="P168" i="3"/>
  <c r="Q168" i="3"/>
  <c r="S168" i="3" s="1"/>
  <c r="N169" i="3"/>
  <c r="O169" i="3"/>
  <c r="P169" i="3"/>
  <c r="Q169" i="3"/>
  <c r="S169" i="3" s="1"/>
  <c r="N170" i="3"/>
  <c r="O170" i="3"/>
  <c r="P170" i="3"/>
  <c r="Q170" i="3"/>
  <c r="S170" i="3" s="1"/>
  <c r="N171" i="3"/>
  <c r="O171" i="3"/>
  <c r="P171" i="3"/>
  <c r="Q171" i="3"/>
  <c r="S171" i="3" s="1"/>
  <c r="N172" i="3"/>
  <c r="O172" i="3"/>
  <c r="P172" i="3"/>
  <c r="Q172" i="3"/>
  <c r="S172" i="3" s="1"/>
  <c r="N173" i="3"/>
  <c r="O173" i="3"/>
  <c r="P173" i="3"/>
  <c r="Q173" i="3"/>
  <c r="S173" i="3" s="1"/>
  <c r="N174" i="3"/>
  <c r="O174" i="3"/>
  <c r="P174" i="3"/>
  <c r="Q174" i="3"/>
  <c r="S174" i="3" s="1"/>
  <c r="N175" i="3"/>
  <c r="O175" i="3"/>
  <c r="P175" i="3"/>
  <c r="Q175" i="3"/>
  <c r="S175" i="3" s="1"/>
  <c r="N176" i="3"/>
  <c r="O176" i="3"/>
  <c r="P176" i="3"/>
  <c r="Q176" i="3"/>
  <c r="S176" i="3" s="1"/>
  <c r="N177" i="3"/>
  <c r="O177" i="3"/>
  <c r="P177" i="3"/>
  <c r="Q177" i="3"/>
  <c r="S177" i="3" s="1"/>
  <c r="N178" i="3"/>
  <c r="O178" i="3"/>
  <c r="P178" i="3"/>
  <c r="Q178" i="3"/>
  <c r="S178" i="3" s="1"/>
  <c r="N179" i="3"/>
  <c r="O179" i="3"/>
  <c r="P179" i="3"/>
  <c r="Q179" i="3"/>
  <c r="S179" i="3" s="1"/>
  <c r="N180" i="3"/>
  <c r="O180" i="3"/>
  <c r="P180" i="3"/>
  <c r="Q180" i="3"/>
  <c r="S180" i="3" s="1"/>
  <c r="N181" i="3"/>
  <c r="O181" i="3"/>
  <c r="P181" i="3"/>
  <c r="Q181" i="3"/>
  <c r="S181" i="3" s="1"/>
  <c r="N182" i="3"/>
  <c r="O182" i="3"/>
  <c r="P182" i="3"/>
  <c r="Q182" i="3"/>
  <c r="S182" i="3" s="1"/>
  <c r="N183" i="3"/>
  <c r="O183" i="3"/>
  <c r="P183" i="3"/>
  <c r="Q183" i="3"/>
  <c r="S183" i="3" s="1"/>
  <c r="N184" i="3"/>
  <c r="O184" i="3"/>
  <c r="P184" i="3"/>
  <c r="Q184" i="3"/>
  <c r="S184" i="3" s="1"/>
  <c r="N185" i="3"/>
  <c r="O185" i="3"/>
  <c r="P185" i="3"/>
  <c r="Q185" i="3"/>
  <c r="S185" i="3" s="1"/>
  <c r="N186" i="3"/>
  <c r="O186" i="3"/>
  <c r="P186" i="3"/>
  <c r="Q186" i="3"/>
  <c r="S186" i="3" s="1"/>
  <c r="N187" i="3"/>
  <c r="O187" i="3"/>
  <c r="P187" i="3"/>
  <c r="Q187" i="3"/>
  <c r="S187" i="3" s="1"/>
  <c r="N188" i="3"/>
  <c r="O188" i="3"/>
  <c r="P188" i="3"/>
  <c r="Q188" i="3"/>
  <c r="S188" i="3" s="1"/>
  <c r="N189" i="3"/>
  <c r="O189" i="3"/>
  <c r="P189" i="3"/>
  <c r="Q189" i="3"/>
  <c r="S189" i="3" s="1"/>
  <c r="N190" i="3"/>
  <c r="O190" i="3"/>
  <c r="P190" i="3"/>
  <c r="Q190" i="3"/>
  <c r="S190" i="3" s="1"/>
  <c r="N191" i="3"/>
  <c r="O191" i="3"/>
  <c r="P191" i="3"/>
  <c r="Q191" i="3"/>
  <c r="S191" i="3" s="1"/>
  <c r="N192" i="3"/>
  <c r="O192" i="3"/>
  <c r="P192" i="3"/>
  <c r="Q192" i="3"/>
  <c r="S192" i="3" s="1"/>
  <c r="N193" i="3"/>
  <c r="O193" i="3"/>
  <c r="P193" i="3"/>
  <c r="Q193" i="3"/>
  <c r="S193" i="3" s="1"/>
  <c r="N194" i="3"/>
  <c r="O194" i="3"/>
  <c r="P194" i="3"/>
  <c r="Q194" i="3"/>
  <c r="S194" i="3" s="1"/>
  <c r="N195" i="3"/>
  <c r="O195" i="3"/>
  <c r="P195" i="3"/>
  <c r="Q195" i="3"/>
  <c r="S195" i="3" s="1"/>
  <c r="N196" i="3"/>
  <c r="O196" i="3"/>
  <c r="P196" i="3"/>
  <c r="Q196" i="3"/>
  <c r="S196" i="3" s="1"/>
  <c r="N197" i="3"/>
  <c r="O197" i="3"/>
  <c r="P197" i="3"/>
  <c r="Q197" i="3"/>
  <c r="S197" i="3" s="1"/>
  <c r="N198" i="3"/>
  <c r="O198" i="3"/>
  <c r="P198" i="3"/>
  <c r="Q198" i="3"/>
  <c r="S198" i="3" s="1"/>
  <c r="N199" i="3"/>
  <c r="O199" i="3"/>
  <c r="P199" i="3"/>
  <c r="Q199" i="3"/>
  <c r="S199" i="3" s="1"/>
  <c r="N200" i="3"/>
  <c r="O200" i="3"/>
  <c r="P200" i="3"/>
  <c r="Q200" i="3"/>
  <c r="S200" i="3" s="1"/>
  <c r="N201" i="3"/>
  <c r="O201" i="3"/>
  <c r="P201" i="3"/>
  <c r="Q201" i="3"/>
  <c r="S201" i="3" s="1"/>
  <c r="N202" i="3"/>
  <c r="O202" i="3"/>
  <c r="P202" i="3"/>
  <c r="Q202" i="3"/>
  <c r="S202" i="3" s="1"/>
  <c r="N203" i="3"/>
  <c r="O203" i="3"/>
  <c r="P203" i="3"/>
  <c r="Q203" i="3"/>
  <c r="S203" i="3" s="1"/>
  <c r="N204" i="3"/>
  <c r="O204" i="3"/>
  <c r="P204" i="3"/>
  <c r="Q204" i="3"/>
  <c r="S204" i="3" s="1"/>
  <c r="N205" i="3"/>
  <c r="O205" i="3"/>
  <c r="P205" i="3"/>
  <c r="Q205" i="3"/>
  <c r="S205" i="3" s="1"/>
  <c r="N206" i="3"/>
  <c r="O206" i="3"/>
  <c r="P206" i="3"/>
  <c r="Q206" i="3"/>
  <c r="S206" i="3" s="1"/>
  <c r="N207" i="3"/>
  <c r="O207" i="3"/>
  <c r="P207" i="3"/>
  <c r="Q207" i="3"/>
  <c r="S207" i="3" s="1"/>
  <c r="N208" i="3"/>
  <c r="O208" i="3"/>
  <c r="P208" i="3"/>
  <c r="Q208" i="3"/>
  <c r="S208" i="3" s="1"/>
  <c r="N209" i="3"/>
  <c r="O209" i="3"/>
  <c r="P209" i="3"/>
  <c r="Q209" i="3"/>
  <c r="S209" i="3" s="1"/>
  <c r="N210" i="3"/>
  <c r="O210" i="3"/>
  <c r="P210" i="3"/>
  <c r="Q210" i="3"/>
  <c r="S210" i="3" s="1"/>
  <c r="N211" i="3"/>
  <c r="O211" i="3"/>
  <c r="P211" i="3"/>
  <c r="Q211" i="3"/>
  <c r="S211" i="3" s="1"/>
  <c r="N212" i="3"/>
  <c r="O212" i="3"/>
  <c r="P212" i="3"/>
  <c r="Q212" i="3"/>
  <c r="S212" i="3" s="1"/>
  <c r="N213" i="3"/>
  <c r="O213" i="3"/>
  <c r="P213" i="3"/>
  <c r="Q213" i="3"/>
  <c r="S213" i="3" s="1"/>
  <c r="N214" i="3"/>
  <c r="O214" i="3"/>
  <c r="P214" i="3"/>
  <c r="Q214" i="3"/>
  <c r="S214" i="3" s="1"/>
  <c r="N215" i="3"/>
  <c r="O215" i="3"/>
  <c r="P215" i="3"/>
  <c r="Q215" i="3"/>
  <c r="S215" i="3" s="1"/>
  <c r="N216" i="3"/>
  <c r="O216" i="3"/>
  <c r="P216" i="3"/>
  <c r="Q216" i="3"/>
  <c r="S216" i="3" s="1"/>
  <c r="N217" i="3"/>
  <c r="O217" i="3"/>
  <c r="P217" i="3"/>
  <c r="Q217" i="3"/>
  <c r="S217" i="3" s="1"/>
  <c r="N218" i="3"/>
  <c r="O218" i="3"/>
  <c r="P218" i="3"/>
  <c r="Q218" i="3"/>
  <c r="S218" i="3" s="1"/>
  <c r="N219" i="3"/>
  <c r="O219" i="3"/>
  <c r="P219" i="3"/>
  <c r="Q219" i="3"/>
  <c r="S219" i="3" s="1"/>
  <c r="N220" i="3"/>
  <c r="O220" i="3"/>
  <c r="P220" i="3"/>
  <c r="Q220" i="3"/>
  <c r="S220" i="3" s="1"/>
  <c r="N221" i="3"/>
  <c r="O221" i="3"/>
  <c r="P221" i="3"/>
  <c r="Q221" i="3"/>
  <c r="S221" i="3" s="1"/>
  <c r="N222" i="3"/>
  <c r="O222" i="3"/>
  <c r="P222" i="3"/>
  <c r="Q222" i="3"/>
  <c r="S222" i="3" s="1"/>
  <c r="N223" i="3"/>
  <c r="O223" i="3"/>
  <c r="P223" i="3"/>
  <c r="Q223" i="3"/>
  <c r="S223" i="3" s="1"/>
  <c r="O4" i="3"/>
  <c r="P4" i="3"/>
  <c r="N4" i="3"/>
  <c r="R6" i="3" l="1"/>
  <c r="R219" i="3"/>
  <c r="R38" i="3"/>
  <c r="K30" i="1"/>
  <c r="H30" i="1"/>
  <c r="R216" i="3"/>
  <c r="R209" i="3"/>
  <c r="R200" i="3"/>
  <c r="R11" i="3"/>
  <c r="R49" i="3"/>
  <c r="R44" i="3"/>
  <c r="R17" i="3"/>
  <c r="R12" i="3"/>
  <c r="R8" i="3"/>
  <c r="R31" i="3"/>
  <c r="R19" i="3"/>
  <c r="R35" i="3"/>
  <c r="R51" i="3"/>
  <c r="R22" i="3"/>
  <c r="R212" i="3"/>
  <c r="R205" i="3"/>
  <c r="R196" i="3"/>
  <c r="R185" i="3"/>
  <c r="R178" i="3"/>
  <c r="R176" i="3"/>
  <c r="R169" i="3"/>
  <c r="R162" i="3"/>
  <c r="R160" i="3"/>
  <c r="R153" i="3"/>
  <c r="R146" i="3"/>
  <c r="R144" i="3"/>
  <c r="R110" i="3"/>
  <c r="R78" i="3"/>
  <c r="R50" i="3"/>
  <c r="R47" i="3"/>
  <c r="R211" i="3"/>
  <c r="R202" i="3"/>
  <c r="R215" i="3"/>
  <c r="R43" i="3"/>
  <c r="R122" i="3"/>
  <c r="R39" i="3"/>
  <c r="R15" i="3"/>
  <c r="R203" i="3"/>
  <c r="R40" i="3"/>
  <c r="R201" i="3"/>
  <c r="R190" i="3"/>
  <c r="R188" i="3"/>
  <c r="R181" i="3"/>
  <c r="R174" i="3"/>
  <c r="R172" i="3"/>
  <c r="R165" i="3"/>
  <c r="R158" i="3"/>
  <c r="R156" i="3"/>
  <c r="R149" i="3"/>
  <c r="R142" i="3"/>
  <c r="R102" i="3"/>
  <c r="R7" i="3"/>
  <c r="R23" i="3"/>
  <c r="R13" i="3"/>
  <c r="R36" i="3"/>
  <c r="R143" i="3"/>
  <c r="R16" i="3"/>
  <c r="R24" i="3"/>
  <c r="R32" i="3"/>
  <c r="R207" i="3"/>
  <c r="R198" i="3"/>
  <c r="R28" i="3"/>
  <c r="R52" i="3"/>
  <c r="R34" i="3"/>
  <c r="R26" i="3"/>
  <c r="R18" i="3"/>
  <c r="R208" i="3"/>
  <c r="R45" i="3"/>
  <c r="R66" i="3"/>
  <c r="R48" i="3"/>
  <c r="R220" i="3"/>
  <c r="R204" i="3"/>
  <c r="R186" i="3"/>
  <c r="R184" i="3"/>
  <c r="R177" i="3"/>
  <c r="R170" i="3"/>
  <c r="R168" i="3"/>
  <c r="R161" i="3"/>
  <c r="R154" i="3"/>
  <c r="R152" i="3"/>
  <c r="R145" i="3"/>
  <c r="R126" i="3"/>
  <c r="R94" i="3"/>
  <c r="R62" i="3"/>
  <c r="R27" i="3"/>
  <c r="R191" i="3"/>
  <c r="R175" i="3"/>
  <c r="R159" i="3"/>
  <c r="R90" i="3"/>
  <c r="R58" i="3"/>
  <c r="R33" i="3"/>
  <c r="R20" i="3"/>
  <c r="R217" i="3"/>
  <c r="R210" i="3"/>
  <c r="R195" i="3"/>
  <c r="R42" i="3"/>
  <c r="R10" i="3"/>
  <c r="R218" i="3"/>
  <c r="R189" i="3"/>
  <c r="R182" i="3"/>
  <c r="R180" i="3"/>
  <c r="R173" i="3"/>
  <c r="R166" i="3"/>
  <c r="R164" i="3"/>
  <c r="R157" i="3"/>
  <c r="R150" i="3"/>
  <c r="R148" i="3"/>
  <c r="R141" i="3"/>
  <c r="R118" i="3"/>
  <c r="R86" i="3"/>
  <c r="R25" i="3"/>
  <c r="R223" i="3"/>
  <c r="R213" i="3"/>
  <c r="R206" i="3"/>
  <c r="R187" i="3"/>
  <c r="R171" i="3"/>
  <c r="R155" i="3"/>
  <c r="R139" i="3"/>
  <c r="R114" i="3"/>
  <c r="R82" i="3"/>
  <c r="R46" i="3"/>
  <c r="R37" i="3"/>
  <c r="R14" i="3"/>
  <c r="R5" i="3"/>
  <c r="R221" i="3"/>
  <c r="R214" i="3"/>
  <c r="R199" i="3"/>
  <c r="R194" i="3"/>
  <c r="R192" i="3"/>
  <c r="R183" i="3"/>
  <c r="R167" i="3"/>
  <c r="R151" i="3"/>
  <c r="R106" i="3"/>
  <c r="R74" i="3"/>
  <c r="R29" i="3"/>
  <c r="R140" i="3"/>
  <c r="R70" i="3"/>
  <c r="R41" i="3"/>
  <c r="R9" i="3"/>
  <c r="R222" i="3"/>
  <c r="R197" i="3"/>
  <c r="R179" i="3"/>
  <c r="R163" i="3"/>
  <c r="R147" i="3"/>
  <c r="R130" i="3"/>
  <c r="R98" i="3"/>
  <c r="R53" i="3"/>
  <c r="R30" i="3"/>
  <c r="R21" i="3"/>
  <c r="R124" i="3"/>
  <c r="R108" i="3"/>
  <c r="R92" i="3"/>
  <c r="R76" i="3"/>
  <c r="R60" i="3"/>
  <c r="R120" i="3"/>
  <c r="R104" i="3"/>
  <c r="R88" i="3"/>
  <c r="R72" i="3"/>
  <c r="R56" i="3"/>
  <c r="R54" i="3"/>
  <c r="R193" i="3"/>
  <c r="R116" i="3"/>
  <c r="R100" i="3"/>
  <c r="R84" i="3"/>
  <c r="R68" i="3"/>
  <c r="R128" i="3"/>
  <c r="R112" i="3"/>
  <c r="R96" i="3"/>
  <c r="R80" i="3"/>
  <c r="R64" i="3"/>
  <c r="R55" i="3"/>
  <c r="R138" i="3"/>
  <c r="R137" i="3"/>
  <c r="R136" i="3"/>
  <c r="R135" i="3"/>
  <c r="R134" i="3"/>
  <c r="R133" i="3"/>
  <c r="R132" i="3"/>
  <c r="R131" i="3"/>
  <c r="R129" i="3"/>
  <c r="R127" i="3"/>
  <c r="R125" i="3"/>
  <c r="R123" i="3"/>
  <c r="R121" i="3"/>
  <c r="R119" i="3"/>
  <c r="R117" i="3"/>
  <c r="R115" i="3"/>
  <c r="R113" i="3"/>
  <c r="R111" i="3"/>
  <c r="R109" i="3"/>
  <c r="R107" i="3"/>
  <c r="R105" i="3"/>
  <c r="R103" i="3"/>
  <c r="R101" i="3"/>
  <c r="R99" i="3"/>
  <c r="R97" i="3"/>
  <c r="R95" i="3"/>
  <c r="R93" i="3"/>
  <c r="R91" i="3"/>
  <c r="R89" i="3"/>
  <c r="R87" i="3"/>
  <c r="R85" i="3"/>
  <c r="R83" i="3"/>
  <c r="R81" i="3"/>
  <c r="R79" i="3"/>
  <c r="R77" i="3"/>
  <c r="R75" i="3"/>
  <c r="R73" i="3"/>
  <c r="R71" i="3"/>
  <c r="R69" i="3"/>
  <c r="R67" i="3"/>
  <c r="R65" i="3"/>
  <c r="R63" i="3"/>
  <c r="R61" i="3"/>
  <c r="R59" i="3"/>
  <c r="R57" i="3"/>
  <c r="K223" i="3" l="1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4" i="3"/>
  <c r="G5" i="7" l="1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J43" i="7" l="1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L29" i="10" l="1"/>
  <c r="K29" i="10"/>
  <c r="J29" i="10"/>
  <c r="H29" i="10"/>
  <c r="G29" i="10"/>
  <c r="F29" i="10"/>
  <c r="D29" i="10"/>
  <c r="C29" i="10"/>
  <c r="I28" i="10"/>
  <c r="E28" i="10"/>
  <c r="I27" i="10"/>
  <c r="E27" i="10"/>
  <c r="I26" i="10"/>
  <c r="E26" i="10"/>
  <c r="M26" i="10" s="1"/>
  <c r="I25" i="10"/>
  <c r="E25" i="10"/>
  <c r="M25" i="10" s="1"/>
  <c r="I24" i="10"/>
  <c r="E24" i="10"/>
  <c r="I23" i="10"/>
  <c r="E23" i="10"/>
  <c r="I22" i="10"/>
  <c r="E22" i="10"/>
  <c r="M22" i="10" s="1"/>
  <c r="I21" i="10"/>
  <c r="E21" i="10"/>
  <c r="M21" i="10" s="1"/>
  <c r="I20" i="10"/>
  <c r="E20" i="10"/>
  <c r="I19" i="10"/>
  <c r="E19" i="10"/>
  <c r="I18" i="10"/>
  <c r="E18" i="10"/>
  <c r="M18" i="10" s="1"/>
  <c r="I17" i="10"/>
  <c r="E17" i="10"/>
  <c r="M17" i="10" s="1"/>
  <c r="I16" i="10"/>
  <c r="E16" i="10"/>
  <c r="I15" i="10"/>
  <c r="E15" i="10"/>
  <c r="I14" i="10"/>
  <c r="E14" i="10"/>
  <c r="M14" i="10" s="1"/>
  <c r="I13" i="10"/>
  <c r="E13" i="10"/>
  <c r="M13" i="10" s="1"/>
  <c r="I12" i="10"/>
  <c r="E12" i="10"/>
  <c r="I11" i="10"/>
  <c r="E11" i="10"/>
  <c r="I10" i="10"/>
  <c r="E10" i="10"/>
  <c r="M10" i="10" s="1"/>
  <c r="I9" i="10"/>
  <c r="E9" i="10"/>
  <c r="M9" i="10" s="1"/>
  <c r="I8" i="10"/>
  <c r="E8" i="10"/>
  <c r="I7" i="10"/>
  <c r="E7" i="10"/>
  <c r="I6" i="10"/>
  <c r="E6" i="10"/>
  <c r="M6" i="10" s="1"/>
  <c r="I5" i="10"/>
  <c r="E5" i="10"/>
  <c r="M5" i="10" s="1"/>
  <c r="A5" i="10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I4" i="10"/>
  <c r="E4" i="10"/>
  <c r="M7" i="10" l="1"/>
  <c r="M11" i="10"/>
  <c r="M15" i="10"/>
  <c r="M19" i="10"/>
  <c r="M23" i="10"/>
  <c r="M27" i="10"/>
  <c r="I29" i="10"/>
  <c r="M8" i="10"/>
  <c r="M12" i="10"/>
  <c r="M16" i="10"/>
  <c r="M20" i="10"/>
  <c r="M24" i="10"/>
  <c r="M28" i="10"/>
  <c r="E29" i="10"/>
  <c r="M4" i="10"/>
  <c r="J3" i="8"/>
  <c r="K3" i="8" s="1"/>
  <c r="F29" i="1"/>
  <c r="P4" i="9"/>
  <c r="P5" i="9"/>
  <c r="P6" i="9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J4" i="9"/>
  <c r="J5" i="9"/>
  <c r="J6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3" i="9"/>
  <c r="P3" i="9"/>
  <c r="D1" i="9"/>
  <c r="E43" i="9"/>
  <c r="D29" i="1" s="1"/>
  <c r="E29" i="1" s="1"/>
  <c r="L42" i="9"/>
  <c r="G42" i="9"/>
  <c r="M42" i="9" s="1"/>
  <c r="F42" i="9"/>
  <c r="L41" i="9"/>
  <c r="G41" i="9"/>
  <c r="M41" i="9" s="1"/>
  <c r="F41" i="9"/>
  <c r="L40" i="9"/>
  <c r="G40" i="9"/>
  <c r="M40" i="9" s="1"/>
  <c r="F40" i="9"/>
  <c r="L39" i="9"/>
  <c r="G39" i="9"/>
  <c r="M39" i="9" s="1"/>
  <c r="F39" i="9"/>
  <c r="H39" i="9" s="1"/>
  <c r="L38" i="9"/>
  <c r="G38" i="9"/>
  <c r="M38" i="9" s="1"/>
  <c r="F38" i="9"/>
  <c r="L37" i="9"/>
  <c r="G37" i="9"/>
  <c r="M37" i="9" s="1"/>
  <c r="F37" i="9"/>
  <c r="L36" i="9"/>
  <c r="G36" i="9"/>
  <c r="M36" i="9" s="1"/>
  <c r="F36" i="9"/>
  <c r="L35" i="9"/>
  <c r="G35" i="9"/>
  <c r="M35" i="9" s="1"/>
  <c r="F35" i="9"/>
  <c r="L34" i="9"/>
  <c r="G34" i="9"/>
  <c r="M34" i="9" s="1"/>
  <c r="F34" i="9"/>
  <c r="L33" i="9"/>
  <c r="G33" i="9"/>
  <c r="M33" i="9" s="1"/>
  <c r="F33" i="9"/>
  <c r="L32" i="9"/>
  <c r="G32" i="9"/>
  <c r="M32" i="9" s="1"/>
  <c r="F32" i="9"/>
  <c r="L31" i="9"/>
  <c r="G31" i="9"/>
  <c r="M31" i="9" s="1"/>
  <c r="F31" i="9"/>
  <c r="L30" i="9"/>
  <c r="G30" i="9"/>
  <c r="M30" i="9" s="1"/>
  <c r="F30" i="9"/>
  <c r="L29" i="9"/>
  <c r="G29" i="9"/>
  <c r="M29" i="9" s="1"/>
  <c r="F29" i="9"/>
  <c r="L28" i="9"/>
  <c r="G28" i="9"/>
  <c r="M28" i="9" s="1"/>
  <c r="F28" i="9"/>
  <c r="L27" i="9"/>
  <c r="G27" i="9"/>
  <c r="M27" i="9" s="1"/>
  <c r="F27" i="9"/>
  <c r="L26" i="9"/>
  <c r="G26" i="9"/>
  <c r="M26" i="9" s="1"/>
  <c r="F26" i="9"/>
  <c r="L25" i="9"/>
  <c r="G25" i="9"/>
  <c r="M25" i="9" s="1"/>
  <c r="F25" i="9"/>
  <c r="L24" i="9"/>
  <c r="G24" i="9"/>
  <c r="M24" i="9" s="1"/>
  <c r="F24" i="9"/>
  <c r="L23" i="9"/>
  <c r="G23" i="9"/>
  <c r="M23" i="9" s="1"/>
  <c r="F23" i="9"/>
  <c r="L22" i="9"/>
  <c r="N22" i="9" s="1"/>
  <c r="G22" i="9"/>
  <c r="M22" i="9" s="1"/>
  <c r="F22" i="9"/>
  <c r="L21" i="9"/>
  <c r="G21" i="9"/>
  <c r="M21" i="9" s="1"/>
  <c r="F21" i="9"/>
  <c r="L20" i="9"/>
  <c r="G20" i="9"/>
  <c r="M20" i="9" s="1"/>
  <c r="F20" i="9"/>
  <c r="L19" i="9"/>
  <c r="G19" i="9"/>
  <c r="M19" i="9" s="1"/>
  <c r="F19" i="9"/>
  <c r="L18" i="9"/>
  <c r="G18" i="9"/>
  <c r="M18" i="9" s="1"/>
  <c r="F18" i="9"/>
  <c r="L17" i="9"/>
  <c r="G17" i="9"/>
  <c r="M17" i="9" s="1"/>
  <c r="F17" i="9"/>
  <c r="L16" i="9"/>
  <c r="G16" i="9"/>
  <c r="M16" i="9" s="1"/>
  <c r="F16" i="9"/>
  <c r="L15" i="9"/>
  <c r="G15" i="9"/>
  <c r="M15" i="9" s="1"/>
  <c r="F15" i="9"/>
  <c r="L14" i="9"/>
  <c r="N14" i="9" s="1"/>
  <c r="G14" i="9"/>
  <c r="M14" i="9" s="1"/>
  <c r="F14" i="9"/>
  <c r="L13" i="9"/>
  <c r="G13" i="9"/>
  <c r="M13" i="9" s="1"/>
  <c r="F13" i="9"/>
  <c r="L12" i="9"/>
  <c r="G12" i="9"/>
  <c r="M12" i="9" s="1"/>
  <c r="F12" i="9"/>
  <c r="L11" i="9"/>
  <c r="G11" i="9"/>
  <c r="M11" i="9" s="1"/>
  <c r="F11" i="9"/>
  <c r="L10" i="9"/>
  <c r="G10" i="9"/>
  <c r="M10" i="9" s="1"/>
  <c r="F10" i="9"/>
  <c r="L9" i="9"/>
  <c r="G9" i="9"/>
  <c r="M9" i="9" s="1"/>
  <c r="F9" i="9"/>
  <c r="L8" i="9"/>
  <c r="G8" i="9"/>
  <c r="M8" i="9" s="1"/>
  <c r="F8" i="9"/>
  <c r="L7" i="9"/>
  <c r="G7" i="9"/>
  <c r="M7" i="9" s="1"/>
  <c r="F7" i="9"/>
  <c r="L6" i="9"/>
  <c r="G6" i="9"/>
  <c r="M6" i="9" s="1"/>
  <c r="F6" i="9"/>
  <c r="L5" i="9"/>
  <c r="G5" i="9"/>
  <c r="M5" i="9" s="1"/>
  <c r="F5" i="9"/>
  <c r="L4" i="9"/>
  <c r="G4" i="9"/>
  <c r="M4" i="9" s="1"/>
  <c r="F4" i="9"/>
  <c r="L3" i="9"/>
  <c r="G3" i="9"/>
  <c r="M3" i="9" s="1"/>
  <c r="F3" i="9"/>
  <c r="G29" i="1"/>
  <c r="H29" i="1" s="1"/>
  <c r="D44" i="7"/>
  <c r="J30" i="8"/>
  <c r="K30" i="8" s="1"/>
  <c r="Q30" i="8" s="1"/>
  <c r="Y30" i="8"/>
  <c r="J31" i="8"/>
  <c r="K31" i="8" s="1"/>
  <c r="Q31" i="8" s="1"/>
  <c r="J32" i="8"/>
  <c r="K32" i="8" s="1"/>
  <c r="Q32" i="8" s="1"/>
  <c r="J33" i="8"/>
  <c r="K33" i="8" s="1"/>
  <c r="J34" i="8"/>
  <c r="K34" i="8" s="1"/>
  <c r="Q34" i="8" s="1"/>
  <c r="J35" i="8"/>
  <c r="K35" i="8" s="1"/>
  <c r="Q35" i="8" s="1"/>
  <c r="J36" i="8"/>
  <c r="K36" i="8" s="1"/>
  <c r="Q36" i="8" s="1"/>
  <c r="J37" i="8"/>
  <c r="K37" i="8" s="1"/>
  <c r="Q37" i="8" s="1"/>
  <c r="J40" i="8"/>
  <c r="K40" i="8" s="1"/>
  <c r="Q40" i="8" s="1"/>
  <c r="J41" i="8"/>
  <c r="K41" i="8" s="1"/>
  <c r="J42" i="8"/>
  <c r="K42" i="8" s="1"/>
  <c r="Y42" i="8"/>
  <c r="J9" i="8"/>
  <c r="K9" i="8" s="1"/>
  <c r="Q9" i="8" s="1"/>
  <c r="Y9" i="8"/>
  <c r="J4" i="8"/>
  <c r="K4" i="8" s="1"/>
  <c r="Q4" i="8" s="1"/>
  <c r="Y31" i="8"/>
  <c r="Y32" i="8"/>
  <c r="Y33" i="8"/>
  <c r="Y34" i="8"/>
  <c r="Y35" i="8"/>
  <c r="Y37" i="8"/>
  <c r="J5" i="8"/>
  <c r="K5" i="8" s="1"/>
  <c r="Q5" i="8" s="1"/>
  <c r="Y5" i="8"/>
  <c r="J6" i="8"/>
  <c r="K6" i="8" s="1"/>
  <c r="Q6" i="8" s="1"/>
  <c r="Y6" i="8"/>
  <c r="J7" i="8"/>
  <c r="K7" i="8" s="1"/>
  <c r="Q7" i="8" s="1"/>
  <c r="Y7" i="8"/>
  <c r="J8" i="8"/>
  <c r="K8" i="8" s="1"/>
  <c r="Q8" i="8" s="1"/>
  <c r="Y8" i="8"/>
  <c r="J10" i="8"/>
  <c r="K10" i="8" s="1"/>
  <c r="J11" i="8"/>
  <c r="K11" i="8" s="1"/>
  <c r="Q11" i="8" s="1"/>
  <c r="J12" i="8"/>
  <c r="K12" i="8" s="1"/>
  <c r="Q12" i="8" s="1"/>
  <c r="J13" i="8"/>
  <c r="K13" i="8" s="1"/>
  <c r="J14" i="8"/>
  <c r="K14" i="8" s="1"/>
  <c r="J15" i="8"/>
  <c r="K15" i="8" s="1"/>
  <c r="Q15" i="8" s="1"/>
  <c r="Y16" i="8"/>
  <c r="J17" i="8"/>
  <c r="K17" i="8" s="1"/>
  <c r="Q17" i="8" s="1"/>
  <c r="J18" i="8"/>
  <c r="K18" i="8" s="1"/>
  <c r="J19" i="8"/>
  <c r="K19" i="8" s="1"/>
  <c r="Q19" i="8" s="1"/>
  <c r="J20" i="8"/>
  <c r="K20" i="8" s="1"/>
  <c r="Q20" i="8" s="1"/>
  <c r="J21" i="8"/>
  <c r="K21" i="8" s="1"/>
  <c r="Y22" i="8"/>
  <c r="J23" i="8"/>
  <c r="K23" i="8" s="1"/>
  <c r="Q23" i="8" s="1"/>
  <c r="J24" i="8"/>
  <c r="K24" i="8" s="1"/>
  <c r="J25" i="8"/>
  <c r="K25" i="8" s="1"/>
  <c r="Q25" i="8" s="1"/>
  <c r="Y26" i="8"/>
  <c r="J27" i="8"/>
  <c r="K27" i="8" s="1"/>
  <c r="Q27" i="8" s="1"/>
  <c r="Y36" i="8"/>
  <c r="I4" i="7"/>
  <c r="I5" i="7"/>
  <c r="K5" i="7" s="1"/>
  <c r="L5" i="7" s="1"/>
  <c r="I6" i="7"/>
  <c r="K6" i="7" s="1"/>
  <c r="L6" i="7" s="1"/>
  <c r="I7" i="7"/>
  <c r="K7" i="7" s="1"/>
  <c r="L7" i="7" s="1"/>
  <c r="I8" i="7"/>
  <c r="K8" i="7" s="1"/>
  <c r="L8" i="7" s="1"/>
  <c r="I9" i="7"/>
  <c r="K9" i="7" s="1"/>
  <c r="L9" i="7" s="1"/>
  <c r="S9" i="7" s="1"/>
  <c r="I10" i="7"/>
  <c r="K10" i="7" s="1"/>
  <c r="L10" i="7" s="1"/>
  <c r="I11" i="7"/>
  <c r="K11" i="7" s="1"/>
  <c r="L11" i="7" s="1"/>
  <c r="I12" i="7"/>
  <c r="K12" i="7" s="1"/>
  <c r="L12" i="7" s="1"/>
  <c r="S12" i="7" s="1"/>
  <c r="I13" i="7"/>
  <c r="K13" i="7" s="1"/>
  <c r="L13" i="7" s="1"/>
  <c r="I14" i="7"/>
  <c r="K14" i="7" s="1"/>
  <c r="L14" i="7" s="1"/>
  <c r="I15" i="7"/>
  <c r="K15" i="7" s="1"/>
  <c r="L15" i="7" s="1"/>
  <c r="I16" i="7"/>
  <c r="K16" i="7" s="1"/>
  <c r="L16" i="7" s="1"/>
  <c r="S16" i="7" s="1"/>
  <c r="I17" i="7"/>
  <c r="K17" i="7" s="1"/>
  <c r="L17" i="7" s="1"/>
  <c r="S17" i="7" s="1"/>
  <c r="I18" i="7"/>
  <c r="K18" i="7" s="1"/>
  <c r="L18" i="7" s="1"/>
  <c r="I19" i="7"/>
  <c r="K19" i="7" s="1"/>
  <c r="L19" i="7" s="1"/>
  <c r="I20" i="7"/>
  <c r="K20" i="7" s="1"/>
  <c r="L20" i="7" s="1"/>
  <c r="S20" i="7" s="1"/>
  <c r="I21" i="7"/>
  <c r="K21" i="7" s="1"/>
  <c r="L21" i="7" s="1"/>
  <c r="S21" i="7" s="1"/>
  <c r="I22" i="7"/>
  <c r="K22" i="7" s="1"/>
  <c r="L22" i="7" s="1"/>
  <c r="I23" i="7"/>
  <c r="K23" i="7" s="1"/>
  <c r="L23" i="7" s="1"/>
  <c r="I24" i="7"/>
  <c r="K24" i="7" s="1"/>
  <c r="L24" i="7" s="1"/>
  <c r="I25" i="7"/>
  <c r="K25" i="7" s="1"/>
  <c r="L25" i="7" s="1"/>
  <c r="S25" i="7" s="1"/>
  <c r="I26" i="7"/>
  <c r="K26" i="7" s="1"/>
  <c r="L26" i="7" s="1"/>
  <c r="I27" i="7"/>
  <c r="K27" i="7" s="1"/>
  <c r="L27" i="7" s="1"/>
  <c r="I28" i="7"/>
  <c r="K28" i="7" s="1"/>
  <c r="L28" i="7" s="1"/>
  <c r="I29" i="7"/>
  <c r="K29" i="7" s="1"/>
  <c r="L29" i="7" s="1"/>
  <c r="I30" i="7"/>
  <c r="K30" i="7" s="1"/>
  <c r="L30" i="7" s="1"/>
  <c r="I31" i="7"/>
  <c r="K31" i="7" s="1"/>
  <c r="L31" i="7" s="1"/>
  <c r="I32" i="7"/>
  <c r="K32" i="7" s="1"/>
  <c r="L32" i="7" s="1"/>
  <c r="S32" i="7" s="1"/>
  <c r="I33" i="7"/>
  <c r="K33" i="7" s="1"/>
  <c r="L33" i="7" s="1"/>
  <c r="S33" i="7" s="1"/>
  <c r="I34" i="7"/>
  <c r="K34" i="7" s="1"/>
  <c r="L34" i="7" s="1"/>
  <c r="I35" i="7"/>
  <c r="K35" i="7" s="1"/>
  <c r="L35" i="7" s="1"/>
  <c r="I36" i="7"/>
  <c r="K36" i="7" s="1"/>
  <c r="L36" i="7" s="1"/>
  <c r="I37" i="7"/>
  <c r="K37" i="7" s="1"/>
  <c r="L37" i="7" s="1"/>
  <c r="I38" i="7"/>
  <c r="K38" i="7" s="1"/>
  <c r="L38" i="7" s="1"/>
  <c r="I39" i="7"/>
  <c r="K39" i="7" s="1"/>
  <c r="L39" i="7" s="1"/>
  <c r="I40" i="7"/>
  <c r="K40" i="7" s="1"/>
  <c r="L40" i="7" s="1"/>
  <c r="S40" i="7" s="1"/>
  <c r="I41" i="7"/>
  <c r="K41" i="7" s="1"/>
  <c r="L41" i="7" s="1"/>
  <c r="S41" i="7" s="1"/>
  <c r="I42" i="7"/>
  <c r="K42" i="7" s="1"/>
  <c r="L42" i="7" s="1"/>
  <c r="I3" i="7"/>
  <c r="K3" i="7" s="1"/>
  <c r="L3" i="7" s="1"/>
  <c r="B255" i="3"/>
  <c r="H1" i="7"/>
  <c r="M3" i="7"/>
  <c r="T3" i="7" s="1"/>
  <c r="N3" i="7"/>
  <c r="U3" i="7" s="1"/>
  <c r="Q3" i="7"/>
  <c r="X3" i="7"/>
  <c r="M4" i="7"/>
  <c r="T4" i="7" s="1"/>
  <c r="N4" i="7"/>
  <c r="U4" i="7" s="1"/>
  <c r="Q4" i="7"/>
  <c r="X4" i="7"/>
  <c r="M5" i="7"/>
  <c r="T5" i="7" s="1"/>
  <c r="N5" i="7"/>
  <c r="U5" i="7" s="1"/>
  <c r="Q5" i="7"/>
  <c r="X5" i="7"/>
  <c r="M6" i="7"/>
  <c r="T6" i="7" s="1"/>
  <c r="N6" i="7"/>
  <c r="U6" i="7" s="1"/>
  <c r="Q6" i="7"/>
  <c r="X6" i="7"/>
  <c r="M7" i="7"/>
  <c r="T7" i="7" s="1"/>
  <c r="N7" i="7"/>
  <c r="U7" i="7" s="1"/>
  <c r="Q7" i="7"/>
  <c r="X7" i="7"/>
  <c r="M8" i="7"/>
  <c r="T8" i="7" s="1"/>
  <c r="N8" i="7"/>
  <c r="U8" i="7" s="1"/>
  <c r="Q8" i="7"/>
  <c r="X8" i="7"/>
  <c r="M9" i="7"/>
  <c r="T9" i="7" s="1"/>
  <c r="N9" i="7"/>
  <c r="U9" i="7" s="1"/>
  <c r="Q9" i="7"/>
  <c r="X9" i="7"/>
  <c r="M10" i="7"/>
  <c r="T10" i="7" s="1"/>
  <c r="N10" i="7"/>
  <c r="U10" i="7" s="1"/>
  <c r="Q10" i="7"/>
  <c r="X10" i="7"/>
  <c r="M11" i="7"/>
  <c r="T11" i="7" s="1"/>
  <c r="N11" i="7"/>
  <c r="U11" i="7" s="1"/>
  <c r="Q11" i="7"/>
  <c r="X11" i="7"/>
  <c r="M12" i="7"/>
  <c r="T12" i="7" s="1"/>
  <c r="N12" i="7"/>
  <c r="U12" i="7" s="1"/>
  <c r="Q12" i="7"/>
  <c r="X12" i="7"/>
  <c r="M13" i="7"/>
  <c r="T13" i="7" s="1"/>
  <c r="N13" i="7"/>
  <c r="U13" i="7" s="1"/>
  <c r="Q13" i="7"/>
  <c r="X13" i="7"/>
  <c r="M14" i="7"/>
  <c r="T14" i="7" s="1"/>
  <c r="N14" i="7"/>
  <c r="U14" i="7" s="1"/>
  <c r="Q14" i="7"/>
  <c r="X14" i="7"/>
  <c r="M15" i="7"/>
  <c r="T15" i="7" s="1"/>
  <c r="N15" i="7"/>
  <c r="U15" i="7" s="1"/>
  <c r="Q15" i="7"/>
  <c r="X15" i="7"/>
  <c r="M16" i="7"/>
  <c r="T16" i="7" s="1"/>
  <c r="N16" i="7"/>
  <c r="U16" i="7" s="1"/>
  <c r="Q16" i="7"/>
  <c r="X16" i="7"/>
  <c r="M17" i="7"/>
  <c r="T17" i="7" s="1"/>
  <c r="N17" i="7"/>
  <c r="U17" i="7" s="1"/>
  <c r="Q17" i="7"/>
  <c r="X17" i="7"/>
  <c r="M18" i="7"/>
  <c r="T18" i="7" s="1"/>
  <c r="N18" i="7"/>
  <c r="U18" i="7" s="1"/>
  <c r="Q18" i="7"/>
  <c r="X18" i="7"/>
  <c r="M19" i="7"/>
  <c r="T19" i="7" s="1"/>
  <c r="N19" i="7"/>
  <c r="U19" i="7" s="1"/>
  <c r="Q19" i="7"/>
  <c r="X19" i="7"/>
  <c r="M20" i="7"/>
  <c r="T20" i="7" s="1"/>
  <c r="N20" i="7"/>
  <c r="U20" i="7" s="1"/>
  <c r="Q20" i="7"/>
  <c r="X20" i="7"/>
  <c r="M21" i="7"/>
  <c r="T21" i="7" s="1"/>
  <c r="N21" i="7"/>
  <c r="U21" i="7" s="1"/>
  <c r="Q21" i="7"/>
  <c r="X21" i="7"/>
  <c r="M22" i="7"/>
  <c r="T22" i="7" s="1"/>
  <c r="N22" i="7"/>
  <c r="U22" i="7" s="1"/>
  <c r="Q22" i="7"/>
  <c r="X22" i="7"/>
  <c r="M23" i="7"/>
  <c r="T23" i="7" s="1"/>
  <c r="N23" i="7"/>
  <c r="U23" i="7" s="1"/>
  <c r="Q23" i="7"/>
  <c r="X23" i="7"/>
  <c r="M24" i="7"/>
  <c r="T24" i="7" s="1"/>
  <c r="N24" i="7"/>
  <c r="U24" i="7" s="1"/>
  <c r="Q24" i="7"/>
  <c r="X24" i="7"/>
  <c r="M25" i="7"/>
  <c r="T25" i="7" s="1"/>
  <c r="N25" i="7"/>
  <c r="U25" i="7" s="1"/>
  <c r="Q25" i="7"/>
  <c r="X25" i="7"/>
  <c r="M26" i="7"/>
  <c r="T26" i="7" s="1"/>
  <c r="N26" i="7"/>
  <c r="U26" i="7" s="1"/>
  <c r="Q26" i="7"/>
  <c r="X26" i="7"/>
  <c r="M27" i="7"/>
  <c r="T27" i="7" s="1"/>
  <c r="N27" i="7"/>
  <c r="U27" i="7" s="1"/>
  <c r="Q27" i="7"/>
  <c r="X27" i="7"/>
  <c r="M28" i="7"/>
  <c r="T28" i="7" s="1"/>
  <c r="N28" i="7"/>
  <c r="U28" i="7" s="1"/>
  <c r="Q28" i="7"/>
  <c r="X28" i="7"/>
  <c r="M29" i="7"/>
  <c r="T29" i="7" s="1"/>
  <c r="N29" i="7"/>
  <c r="U29" i="7" s="1"/>
  <c r="Q29" i="7"/>
  <c r="X29" i="7"/>
  <c r="M30" i="7"/>
  <c r="T30" i="7" s="1"/>
  <c r="N30" i="7"/>
  <c r="U30" i="7" s="1"/>
  <c r="Q30" i="7"/>
  <c r="X30" i="7"/>
  <c r="M31" i="7"/>
  <c r="T31" i="7" s="1"/>
  <c r="N31" i="7"/>
  <c r="U31" i="7" s="1"/>
  <c r="Q31" i="7"/>
  <c r="X31" i="7"/>
  <c r="M32" i="7"/>
  <c r="T32" i="7" s="1"/>
  <c r="N32" i="7"/>
  <c r="U32" i="7" s="1"/>
  <c r="Q32" i="7"/>
  <c r="X32" i="7"/>
  <c r="M33" i="7"/>
  <c r="T33" i="7" s="1"/>
  <c r="N33" i="7"/>
  <c r="U33" i="7" s="1"/>
  <c r="Q33" i="7"/>
  <c r="X33" i="7"/>
  <c r="M34" i="7"/>
  <c r="T34" i="7" s="1"/>
  <c r="N34" i="7"/>
  <c r="U34" i="7" s="1"/>
  <c r="Q34" i="7"/>
  <c r="X34" i="7"/>
  <c r="M35" i="7"/>
  <c r="T35" i="7" s="1"/>
  <c r="N35" i="7"/>
  <c r="U35" i="7" s="1"/>
  <c r="Q35" i="7"/>
  <c r="X35" i="7"/>
  <c r="M36" i="7"/>
  <c r="N36" i="7"/>
  <c r="U36" i="7" s="1"/>
  <c r="Q36" i="7"/>
  <c r="X36" i="7"/>
  <c r="M37" i="7"/>
  <c r="T37" i="7" s="1"/>
  <c r="N37" i="7"/>
  <c r="U37" i="7" s="1"/>
  <c r="Q37" i="7"/>
  <c r="X37" i="7"/>
  <c r="M38" i="7"/>
  <c r="T38" i="7" s="1"/>
  <c r="N38" i="7"/>
  <c r="U38" i="7" s="1"/>
  <c r="Q38" i="7"/>
  <c r="X38" i="7"/>
  <c r="M39" i="7"/>
  <c r="T39" i="7" s="1"/>
  <c r="N39" i="7"/>
  <c r="U39" i="7" s="1"/>
  <c r="Q39" i="7"/>
  <c r="X39" i="7"/>
  <c r="M40" i="7"/>
  <c r="T40" i="7" s="1"/>
  <c r="N40" i="7"/>
  <c r="U40" i="7" s="1"/>
  <c r="Q40" i="7"/>
  <c r="X40" i="7"/>
  <c r="M41" i="7"/>
  <c r="T41" i="7" s="1"/>
  <c r="N41" i="7"/>
  <c r="U41" i="7" s="1"/>
  <c r="Q41" i="7"/>
  <c r="X41" i="7"/>
  <c r="M42" i="7"/>
  <c r="N42" i="7"/>
  <c r="U42" i="7" s="1"/>
  <c r="Q42" i="7"/>
  <c r="X42" i="7"/>
  <c r="D1" i="6"/>
  <c r="F1" i="6"/>
  <c r="H1" i="6"/>
  <c r="J1" i="6"/>
  <c r="K3" i="6"/>
  <c r="L3" i="6"/>
  <c r="S3" i="6" s="1"/>
  <c r="M3" i="6"/>
  <c r="T3" i="6" s="1"/>
  <c r="W3" i="6"/>
  <c r="K4" i="6"/>
  <c r="L4" i="6"/>
  <c r="S4" i="6" s="1"/>
  <c r="M4" i="6"/>
  <c r="T4" i="6" s="1"/>
  <c r="P4" i="6"/>
  <c r="W4" i="6"/>
  <c r="K5" i="6"/>
  <c r="L5" i="6"/>
  <c r="S5" i="6" s="1"/>
  <c r="M5" i="6"/>
  <c r="T5" i="6" s="1"/>
  <c r="P5" i="6"/>
  <c r="W5" i="6"/>
  <c r="K6" i="6"/>
  <c r="L6" i="6"/>
  <c r="S6" i="6" s="1"/>
  <c r="M6" i="6"/>
  <c r="T6" i="6" s="1"/>
  <c r="P6" i="6"/>
  <c r="W6" i="6"/>
  <c r="K7" i="6"/>
  <c r="L7" i="6"/>
  <c r="S7" i="6" s="1"/>
  <c r="M7" i="6"/>
  <c r="T7" i="6" s="1"/>
  <c r="P7" i="6"/>
  <c r="W7" i="6"/>
  <c r="K8" i="6"/>
  <c r="L8" i="6"/>
  <c r="S8" i="6" s="1"/>
  <c r="M8" i="6"/>
  <c r="T8" i="6" s="1"/>
  <c r="P8" i="6"/>
  <c r="W8" i="6"/>
  <c r="K9" i="6"/>
  <c r="L9" i="6"/>
  <c r="S9" i="6" s="1"/>
  <c r="M9" i="6"/>
  <c r="T9" i="6" s="1"/>
  <c r="P9" i="6"/>
  <c r="W9" i="6"/>
  <c r="K10" i="6"/>
  <c r="L10" i="6"/>
  <c r="S10" i="6" s="1"/>
  <c r="M10" i="6"/>
  <c r="T10" i="6" s="1"/>
  <c r="P10" i="6"/>
  <c r="W10" i="6"/>
  <c r="K11" i="6"/>
  <c r="L11" i="6"/>
  <c r="S11" i="6" s="1"/>
  <c r="M11" i="6"/>
  <c r="T11" i="6" s="1"/>
  <c r="P11" i="6"/>
  <c r="W11" i="6"/>
  <c r="K12" i="6"/>
  <c r="L12" i="6"/>
  <c r="S12" i="6" s="1"/>
  <c r="M12" i="6"/>
  <c r="T12" i="6" s="1"/>
  <c r="P12" i="6"/>
  <c r="W12" i="6"/>
  <c r="K13" i="6"/>
  <c r="L13" i="6"/>
  <c r="S13" i="6" s="1"/>
  <c r="M13" i="6"/>
  <c r="T13" i="6" s="1"/>
  <c r="P13" i="6"/>
  <c r="W13" i="6"/>
  <c r="K14" i="6"/>
  <c r="L14" i="6"/>
  <c r="S14" i="6" s="1"/>
  <c r="M14" i="6"/>
  <c r="T14" i="6" s="1"/>
  <c r="P14" i="6"/>
  <c r="W14" i="6"/>
  <c r="K15" i="6"/>
  <c r="L15" i="6"/>
  <c r="S15" i="6" s="1"/>
  <c r="M15" i="6"/>
  <c r="T15" i="6" s="1"/>
  <c r="P15" i="6"/>
  <c r="W15" i="6"/>
  <c r="K16" i="6"/>
  <c r="L16" i="6"/>
  <c r="S16" i="6" s="1"/>
  <c r="M16" i="6"/>
  <c r="T16" i="6" s="1"/>
  <c r="P16" i="6"/>
  <c r="W16" i="6"/>
  <c r="K17" i="6"/>
  <c r="L17" i="6"/>
  <c r="S17" i="6" s="1"/>
  <c r="M17" i="6"/>
  <c r="T17" i="6" s="1"/>
  <c r="P17" i="6"/>
  <c r="W17" i="6"/>
  <c r="K18" i="6"/>
  <c r="L18" i="6"/>
  <c r="S18" i="6" s="1"/>
  <c r="M18" i="6"/>
  <c r="T18" i="6" s="1"/>
  <c r="P18" i="6"/>
  <c r="W18" i="6"/>
  <c r="K19" i="6"/>
  <c r="L19" i="6"/>
  <c r="S19" i="6" s="1"/>
  <c r="M19" i="6"/>
  <c r="T19" i="6" s="1"/>
  <c r="P19" i="6"/>
  <c r="W19" i="6"/>
  <c r="K20" i="6"/>
  <c r="L20" i="6"/>
  <c r="S20" i="6" s="1"/>
  <c r="M20" i="6"/>
  <c r="T20" i="6" s="1"/>
  <c r="P20" i="6"/>
  <c r="W20" i="6"/>
  <c r="K21" i="6"/>
  <c r="L21" i="6"/>
  <c r="S21" i="6" s="1"/>
  <c r="M21" i="6"/>
  <c r="T21" i="6" s="1"/>
  <c r="P21" i="6"/>
  <c r="W21" i="6"/>
  <c r="K22" i="6"/>
  <c r="L22" i="6"/>
  <c r="S22" i="6" s="1"/>
  <c r="M22" i="6"/>
  <c r="T22" i="6" s="1"/>
  <c r="P22" i="6"/>
  <c r="W22" i="6"/>
  <c r="K23" i="6"/>
  <c r="L23" i="6"/>
  <c r="S23" i="6" s="1"/>
  <c r="M23" i="6"/>
  <c r="T23" i="6" s="1"/>
  <c r="P23" i="6"/>
  <c r="W23" i="6"/>
  <c r="K24" i="6"/>
  <c r="L24" i="6"/>
  <c r="S24" i="6" s="1"/>
  <c r="M24" i="6"/>
  <c r="T24" i="6" s="1"/>
  <c r="P24" i="6"/>
  <c r="W24" i="6"/>
  <c r="K25" i="6"/>
  <c r="L25" i="6"/>
  <c r="S25" i="6" s="1"/>
  <c r="M25" i="6"/>
  <c r="T25" i="6" s="1"/>
  <c r="P25" i="6"/>
  <c r="W25" i="6"/>
  <c r="K26" i="6"/>
  <c r="L26" i="6"/>
  <c r="S26" i="6" s="1"/>
  <c r="M26" i="6"/>
  <c r="T26" i="6" s="1"/>
  <c r="P26" i="6"/>
  <c r="W26" i="6"/>
  <c r="K27" i="6"/>
  <c r="L27" i="6"/>
  <c r="S27" i="6" s="1"/>
  <c r="M27" i="6"/>
  <c r="T27" i="6" s="1"/>
  <c r="P27" i="6"/>
  <c r="W27" i="6"/>
  <c r="K28" i="6"/>
  <c r="L28" i="6"/>
  <c r="S28" i="6" s="1"/>
  <c r="M28" i="6"/>
  <c r="T28" i="6" s="1"/>
  <c r="P28" i="6"/>
  <c r="W28" i="6"/>
  <c r="K29" i="6"/>
  <c r="L29" i="6"/>
  <c r="S29" i="6" s="1"/>
  <c r="M29" i="6"/>
  <c r="T29" i="6" s="1"/>
  <c r="P29" i="6"/>
  <c r="W29" i="6"/>
  <c r="K30" i="6"/>
  <c r="L30" i="6"/>
  <c r="S30" i="6" s="1"/>
  <c r="M30" i="6"/>
  <c r="T30" i="6" s="1"/>
  <c r="P30" i="6"/>
  <c r="W30" i="6"/>
  <c r="K31" i="6"/>
  <c r="L31" i="6"/>
  <c r="S31" i="6" s="1"/>
  <c r="M31" i="6"/>
  <c r="T31" i="6" s="1"/>
  <c r="P31" i="6"/>
  <c r="W31" i="6"/>
  <c r="K32" i="6"/>
  <c r="L32" i="6"/>
  <c r="S32" i="6" s="1"/>
  <c r="M32" i="6"/>
  <c r="T32" i="6" s="1"/>
  <c r="P32" i="6"/>
  <c r="W32" i="6"/>
  <c r="K33" i="6"/>
  <c r="L33" i="6"/>
  <c r="S33" i="6" s="1"/>
  <c r="M33" i="6"/>
  <c r="T33" i="6" s="1"/>
  <c r="P33" i="6"/>
  <c r="W33" i="6"/>
  <c r="K34" i="6"/>
  <c r="L34" i="6"/>
  <c r="S34" i="6"/>
  <c r="M34" i="6"/>
  <c r="T34" i="6" s="1"/>
  <c r="P34" i="6"/>
  <c r="W34" i="6"/>
  <c r="K35" i="6"/>
  <c r="L35" i="6"/>
  <c r="S35" i="6" s="1"/>
  <c r="M35" i="6"/>
  <c r="T35" i="6" s="1"/>
  <c r="P35" i="6"/>
  <c r="W35" i="6"/>
  <c r="K36" i="6"/>
  <c r="L36" i="6"/>
  <c r="S36" i="6" s="1"/>
  <c r="M36" i="6"/>
  <c r="T36" i="6" s="1"/>
  <c r="P36" i="6"/>
  <c r="W36" i="6"/>
  <c r="K37" i="6"/>
  <c r="L37" i="6"/>
  <c r="S37" i="6" s="1"/>
  <c r="M37" i="6"/>
  <c r="T37" i="6" s="1"/>
  <c r="P37" i="6"/>
  <c r="W37" i="6"/>
  <c r="K38" i="6"/>
  <c r="L38" i="6"/>
  <c r="S38" i="6" s="1"/>
  <c r="M38" i="6"/>
  <c r="T38" i="6" s="1"/>
  <c r="P38" i="6"/>
  <c r="W38" i="6"/>
  <c r="K39" i="6"/>
  <c r="L39" i="6"/>
  <c r="S39" i="6" s="1"/>
  <c r="M39" i="6"/>
  <c r="T39" i="6" s="1"/>
  <c r="P39" i="6"/>
  <c r="W39" i="6"/>
  <c r="K40" i="6"/>
  <c r="L40" i="6"/>
  <c r="S40" i="6" s="1"/>
  <c r="M40" i="6"/>
  <c r="T40" i="6" s="1"/>
  <c r="P40" i="6"/>
  <c r="W40" i="6"/>
  <c r="K41" i="6"/>
  <c r="L41" i="6"/>
  <c r="S41" i="6" s="1"/>
  <c r="M41" i="6"/>
  <c r="T41" i="6" s="1"/>
  <c r="P41" i="6"/>
  <c r="W41" i="6"/>
  <c r="K42" i="6"/>
  <c r="L42" i="6"/>
  <c r="S42" i="6" s="1"/>
  <c r="M42" i="6"/>
  <c r="T42" i="6" s="1"/>
  <c r="P42" i="6"/>
  <c r="W42" i="6"/>
  <c r="K43" i="6"/>
  <c r="L43" i="6"/>
  <c r="S43" i="6" s="1"/>
  <c r="M43" i="6"/>
  <c r="T43" i="6" s="1"/>
  <c r="P43" i="6"/>
  <c r="W43" i="6"/>
  <c r="K44" i="6"/>
  <c r="L44" i="6"/>
  <c r="S44" i="6" s="1"/>
  <c r="M44" i="6"/>
  <c r="T44" i="6" s="1"/>
  <c r="P44" i="6"/>
  <c r="W44" i="6"/>
  <c r="K45" i="6"/>
  <c r="L45" i="6"/>
  <c r="S45" i="6" s="1"/>
  <c r="M45" i="6"/>
  <c r="T45" i="6" s="1"/>
  <c r="P45" i="6"/>
  <c r="W45" i="6"/>
  <c r="K46" i="6"/>
  <c r="L46" i="6"/>
  <c r="S46" i="6" s="1"/>
  <c r="M46" i="6"/>
  <c r="P46" i="6"/>
  <c r="T46" i="6"/>
  <c r="W46" i="6"/>
  <c r="K47" i="6"/>
  <c r="L47" i="6"/>
  <c r="S47" i="6" s="1"/>
  <c r="M47" i="6"/>
  <c r="T47" i="6" s="1"/>
  <c r="P47" i="6"/>
  <c r="W47" i="6"/>
  <c r="K48" i="6"/>
  <c r="L48" i="6"/>
  <c r="S48" i="6" s="1"/>
  <c r="M48" i="6"/>
  <c r="T48" i="6" s="1"/>
  <c r="P48" i="6"/>
  <c r="W48" i="6"/>
  <c r="K49" i="6"/>
  <c r="L49" i="6"/>
  <c r="S49" i="6" s="1"/>
  <c r="M49" i="6"/>
  <c r="T49" i="6" s="1"/>
  <c r="P49" i="6"/>
  <c r="W49" i="6"/>
  <c r="K50" i="6"/>
  <c r="L50" i="6"/>
  <c r="S50" i="6" s="1"/>
  <c r="M50" i="6"/>
  <c r="T50" i="6" s="1"/>
  <c r="P50" i="6"/>
  <c r="W50" i="6"/>
  <c r="K51" i="6"/>
  <c r="L51" i="6"/>
  <c r="S51" i="6" s="1"/>
  <c r="M51" i="6"/>
  <c r="T51" i="6" s="1"/>
  <c r="P51" i="6"/>
  <c r="W51" i="6"/>
  <c r="K52" i="6"/>
  <c r="L52" i="6"/>
  <c r="S52" i="6" s="1"/>
  <c r="M52" i="6"/>
  <c r="T52" i="6" s="1"/>
  <c r="P52" i="6"/>
  <c r="W52" i="6"/>
  <c r="I53" i="6"/>
  <c r="J53" i="6"/>
  <c r="A65" i="6"/>
  <c r="H1" i="8"/>
  <c r="I3" i="8"/>
  <c r="L3" i="8"/>
  <c r="R3" i="8" s="1"/>
  <c r="O3" i="8"/>
  <c r="T3" i="8"/>
  <c r="V3" i="8"/>
  <c r="I4" i="8"/>
  <c r="L4" i="8"/>
  <c r="R4" i="8" s="1"/>
  <c r="O4" i="8"/>
  <c r="T4" i="8"/>
  <c r="V4" i="8"/>
  <c r="I5" i="8"/>
  <c r="L5" i="8"/>
  <c r="R5" i="8" s="1"/>
  <c r="O5" i="8"/>
  <c r="T5" i="8"/>
  <c r="V5" i="8"/>
  <c r="I6" i="8"/>
  <c r="L6" i="8"/>
  <c r="R6" i="8" s="1"/>
  <c r="O6" i="8"/>
  <c r="T6" i="8"/>
  <c r="V6" i="8"/>
  <c r="I7" i="8"/>
  <c r="L7" i="8"/>
  <c r="M7" i="8" s="1"/>
  <c r="O7" i="8"/>
  <c r="T7" i="8"/>
  <c r="V7" i="8"/>
  <c r="I8" i="8"/>
  <c r="L8" i="8"/>
  <c r="R8" i="8" s="1"/>
  <c r="O8" i="8"/>
  <c r="T8" i="8"/>
  <c r="V8" i="8"/>
  <c r="I9" i="8"/>
  <c r="L9" i="8"/>
  <c r="R9" i="8" s="1"/>
  <c r="O9" i="8"/>
  <c r="T9" i="8"/>
  <c r="V9" i="8"/>
  <c r="I10" i="8"/>
  <c r="L10" i="8"/>
  <c r="R10" i="8" s="1"/>
  <c r="O10" i="8"/>
  <c r="T10" i="8"/>
  <c r="V10" i="8"/>
  <c r="I11" i="8"/>
  <c r="L11" i="8"/>
  <c r="R11" i="8" s="1"/>
  <c r="O11" i="8"/>
  <c r="T11" i="8"/>
  <c r="V11" i="8"/>
  <c r="I12" i="8"/>
  <c r="L12" i="8"/>
  <c r="R12" i="8" s="1"/>
  <c r="O12" i="8"/>
  <c r="T12" i="8"/>
  <c r="V12" i="8"/>
  <c r="I13" i="8"/>
  <c r="L13" i="8"/>
  <c r="R13" i="8" s="1"/>
  <c r="O13" i="8"/>
  <c r="T13" i="8"/>
  <c r="V13" i="8"/>
  <c r="I14" i="8"/>
  <c r="L14" i="8"/>
  <c r="R14" i="8" s="1"/>
  <c r="O14" i="8"/>
  <c r="T14" i="8"/>
  <c r="V14" i="8"/>
  <c r="I15" i="8"/>
  <c r="L15" i="8"/>
  <c r="R15" i="8" s="1"/>
  <c r="O15" i="8"/>
  <c r="T15" i="8"/>
  <c r="V15" i="8"/>
  <c r="I16" i="8"/>
  <c r="L16" i="8"/>
  <c r="R16" i="8" s="1"/>
  <c r="O16" i="8"/>
  <c r="T16" i="8"/>
  <c r="V16" i="8"/>
  <c r="I17" i="8"/>
  <c r="L17" i="8"/>
  <c r="R17" i="8" s="1"/>
  <c r="O17" i="8"/>
  <c r="T17" i="8"/>
  <c r="V17" i="8"/>
  <c r="I18" i="8"/>
  <c r="L18" i="8"/>
  <c r="R18" i="8" s="1"/>
  <c r="O18" i="8"/>
  <c r="T18" i="8"/>
  <c r="V18" i="8"/>
  <c r="I19" i="8"/>
  <c r="L19" i="8"/>
  <c r="R19" i="8" s="1"/>
  <c r="O19" i="8"/>
  <c r="T19" i="8"/>
  <c r="V19" i="8"/>
  <c r="I20" i="8"/>
  <c r="L20" i="8"/>
  <c r="R20" i="8" s="1"/>
  <c r="O20" i="8"/>
  <c r="T20" i="8"/>
  <c r="V20" i="8"/>
  <c r="I21" i="8"/>
  <c r="L21" i="8"/>
  <c r="R21" i="8" s="1"/>
  <c r="O21" i="8"/>
  <c r="T21" i="8"/>
  <c r="V21" i="8"/>
  <c r="I22" i="8"/>
  <c r="L22" i="8"/>
  <c r="R22" i="8" s="1"/>
  <c r="O22" i="8"/>
  <c r="T22" i="8"/>
  <c r="V22" i="8"/>
  <c r="I23" i="8"/>
  <c r="L23" i="8"/>
  <c r="R23" i="8" s="1"/>
  <c r="O23" i="8"/>
  <c r="T23" i="8"/>
  <c r="V23" i="8"/>
  <c r="I24" i="8"/>
  <c r="L24" i="8"/>
  <c r="R24" i="8" s="1"/>
  <c r="O24" i="8"/>
  <c r="T24" i="8"/>
  <c r="V24" i="8"/>
  <c r="I25" i="8"/>
  <c r="L25" i="8"/>
  <c r="R25" i="8" s="1"/>
  <c r="O25" i="8"/>
  <c r="T25" i="8"/>
  <c r="V25" i="8"/>
  <c r="I26" i="8"/>
  <c r="L26" i="8"/>
  <c r="R26" i="8" s="1"/>
  <c r="O26" i="8"/>
  <c r="T26" i="8"/>
  <c r="V26" i="8"/>
  <c r="I27" i="8"/>
  <c r="L27" i="8"/>
  <c r="R27" i="8" s="1"/>
  <c r="O27" i="8"/>
  <c r="T27" i="8"/>
  <c r="V27" i="8"/>
  <c r="I28" i="8"/>
  <c r="L28" i="8"/>
  <c r="R28" i="8" s="1"/>
  <c r="O28" i="8"/>
  <c r="T28" i="8"/>
  <c r="V28" i="8"/>
  <c r="I29" i="8"/>
  <c r="L29" i="8"/>
  <c r="R29" i="8" s="1"/>
  <c r="O29" i="8"/>
  <c r="T29" i="8"/>
  <c r="V29" i="8"/>
  <c r="I30" i="8"/>
  <c r="L30" i="8"/>
  <c r="R30" i="8" s="1"/>
  <c r="O30" i="8"/>
  <c r="T30" i="8"/>
  <c r="V30" i="8"/>
  <c r="I31" i="8"/>
  <c r="L31" i="8"/>
  <c r="M31" i="8" s="1"/>
  <c r="O31" i="8"/>
  <c r="T31" i="8"/>
  <c r="V31" i="8"/>
  <c r="I32" i="8"/>
  <c r="L32" i="8"/>
  <c r="R32" i="8" s="1"/>
  <c r="O32" i="8"/>
  <c r="T32" i="8"/>
  <c r="V32" i="8"/>
  <c r="I33" i="8"/>
  <c r="L33" i="8"/>
  <c r="R33" i="8" s="1"/>
  <c r="O33" i="8"/>
  <c r="T33" i="8"/>
  <c r="V33" i="8"/>
  <c r="I34" i="8"/>
  <c r="L34" i="8"/>
  <c r="R34" i="8" s="1"/>
  <c r="O34" i="8"/>
  <c r="T34" i="8"/>
  <c r="V34" i="8"/>
  <c r="I35" i="8"/>
  <c r="L35" i="8"/>
  <c r="R35" i="8" s="1"/>
  <c r="O35" i="8"/>
  <c r="T35" i="8"/>
  <c r="V35" i="8"/>
  <c r="I36" i="8"/>
  <c r="L36" i="8"/>
  <c r="R36" i="8" s="1"/>
  <c r="O36" i="8"/>
  <c r="T36" i="8"/>
  <c r="V36" i="8"/>
  <c r="I37" i="8"/>
  <c r="L37" i="8"/>
  <c r="R37" i="8" s="1"/>
  <c r="O37" i="8"/>
  <c r="T37" i="8"/>
  <c r="V37" i="8"/>
  <c r="I38" i="8"/>
  <c r="L38" i="8"/>
  <c r="R38" i="8" s="1"/>
  <c r="O38" i="8"/>
  <c r="T38" i="8"/>
  <c r="V38" i="8"/>
  <c r="I39" i="8"/>
  <c r="L39" i="8"/>
  <c r="R39" i="8" s="1"/>
  <c r="O39" i="8"/>
  <c r="T39" i="8"/>
  <c r="V39" i="8"/>
  <c r="I40" i="8"/>
  <c r="L40" i="8"/>
  <c r="R40" i="8" s="1"/>
  <c r="O40" i="8"/>
  <c r="T40" i="8"/>
  <c r="V40" i="8"/>
  <c r="I41" i="8"/>
  <c r="L41" i="8"/>
  <c r="M41" i="8" s="1"/>
  <c r="O41" i="8"/>
  <c r="T41" i="8"/>
  <c r="V41" i="8"/>
  <c r="I42" i="8"/>
  <c r="D43" i="8"/>
  <c r="L42" i="8"/>
  <c r="R42" i="8" s="1"/>
  <c r="O42" i="8"/>
  <c r="T42" i="8"/>
  <c r="V42" i="8"/>
  <c r="F1" i="4"/>
  <c r="G3" i="4"/>
  <c r="H3" i="4"/>
  <c r="O3" i="4" s="1"/>
  <c r="I3" i="4"/>
  <c r="P3" i="4" s="1"/>
  <c r="J3" i="4"/>
  <c r="Q3" i="4" s="1"/>
  <c r="M3" i="4"/>
  <c r="T3" i="4"/>
  <c r="G4" i="4"/>
  <c r="H4" i="4"/>
  <c r="I4" i="4"/>
  <c r="P4" i="4" s="1"/>
  <c r="J4" i="4"/>
  <c r="Q4" i="4" s="1"/>
  <c r="M4" i="4"/>
  <c r="T4" i="4"/>
  <c r="G5" i="4"/>
  <c r="H5" i="4"/>
  <c r="O5" i="4" s="1"/>
  <c r="I5" i="4"/>
  <c r="P5" i="4" s="1"/>
  <c r="J5" i="4"/>
  <c r="Q5" i="4" s="1"/>
  <c r="M5" i="4"/>
  <c r="T5" i="4"/>
  <c r="G6" i="4"/>
  <c r="H6" i="4"/>
  <c r="O6" i="4" s="1"/>
  <c r="I6" i="4"/>
  <c r="P6" i="4" s="1"/>
  <c r="J6" i="4"/>
  <c r="Q6" i="4" s="1"/>
  <c r="M6" i="4"/>
  <c r="T6" i="4"/>
  <c r="G7" i="4"/>
  <c r="H7" i="4"/>
  <c r="O7" i="4" s="1"/>
  <c r="I7" i="4"/>
  <c r="J7" i="4"/>
  <c r="Q7" i="4" s="1"/>
  <c r="M7" i="4"/>
  <c r="T7" i="4"/>
  <c r="G8" i="4"/>
  <c r="H8" i="4"/>
  <c r="I8" i="4"/>
  <c r="P8" i="4" s="1"/>
  <c r="J8" i="4"/>
  <c r="Q8" i="4" s="1"/>
  <c r="M8" i="4"/>
  <c r="T8" i="4"/>
  <c r="G9" i="4"/>
  <c r="H9" i="4"/>
  <c r="O9" i="4" s="1"/>
  <c r="I9" i="4"/>
  <c r="J9" i="4"/>
  <c r="Q9" i="4" s="1"/>
  <c r="M9" i="4"/>
  <c r="T9" i="4"/>
  <c r="G10" i="4"/>
  <c r="H10" i="4"/>
  <c r="I10" i="4"/>
  <c r="P10" i="4" s="1"/>
  <c r="J10" i="4"/>
  <c r="Q10" i="4" s="1"/>
  <c r="M10" i="4"/>
  <c r="T10" i="4"/>
  <c r="G11" i="4"/>
  <c r="H11" i="4"/>
  <c r="O11" i="4" s="1"/>
  <c r="I11" i="4"/>
  <c r="J11" i="4"/>
  <c r="Q11" i="4" s="1"/>
  <c r="M11" i="4"/>
  <c r="T11" i="4"/>
  <c r="G12" i="4"/>
  <c r="H12" i="4"/>
  <c r="I12" i="4"/>
  <c r="P12" i="4" s="1"/>
  <c r="J12" i="4"/>
  <c r="Q12" i="4" s="1"/>
  <c r="M12" i="4"/>
  <c r="T12" i="4"/>
  <c r="G13" i="4"/>
  <c r="H13" i="4"/>
  <c r="O13" i="4" s="1"/>
  <c r="I13" i="4"/>
  <c r="J13" i="4"/>
  <c r="Q13" i="4" s="1"/>
  <c r="M13" i="4"/>
  <c r="T13" i="4"/>
  <c r="G14" i="4"/>
  <c r="H14" i="4"/>
  <c r="O14" i="4" s="1"/>
  <c r="I14" i="4"/>
  <c r="P14" i="4" s="1"/>
  <c r="J14" i="4"/>
  <c r="Q14" i="4" s="1"/>
  <c r="M14" i="4"/>
  <c r="T14" i="4"/>
  <c r="G15" i="4"/>
  <c r="H15" i="4"/>
  <c r="O15" i="4" s="1"/>
  <c r="I15" i="4"/>
  <c r="J15" i="4"/>
  <c r="Q15" i="4" s="1"/>
  <c r="M15" i="4"/>
  <c r="T15" i="4"/>
  <c r="G16" i="4"/>
  <c r="H16" i="4"/>
  <c r="O16" i="4" s="1"/>
  <c r="I16" i="4"/>
  <c r="P16" i="4" s="1"/>
  <c r="J16" i="4"/>
  <c r="Q16" i="4" s="1"/>
  <c r="M16" i="4"/>
  <c r="T16" i="4"/>
  <c r="G17" i="4"/>
  <c r="H17" i="4"/>
  <c r="O17" i="4" s="1"/>
  <c r="I17" i="4"/>
  <c r="J17" i="4"/>
  <c r="Q17" i="4" s="1"/>
  <c r="M17" i="4"/>
  <c r="T17" i="4"/>
  <c r="G18" i="4"/>
  <c r="H18" i="4"/>
  <c r="O18" i="4" s="1"/>
  <c r="I18" i="4"/>
  <c r="P18" i="4" s="1"/>
  <c r="J18" i="4"/>
  <c r="Q18" i="4" s="1"/>
  <c r="M18" i="4"/>
  <c r="T18" i="4"/>
  <c r="G19" i="4"/>
  <c r="H19" i="4"/>
  <c r="O19" i="4" s="1"/>
  <c r="I19" i="4"/>
  <c r="J19" i="4"/>
  <c r="Q19" i="4" s="1"/>
  <c r="M19" i="4"/>
  <c r="T19" i="4"/>
  <c r="G20" i="4"/>
  <c r="H20" i="4"/>
  <c r="O20" i="4" s="1"/>
  <c r="I20" i="4"/>
  <c r="P20" i="4" s="1"/>
  <c r="J20" i="4"/>
  <c r="Q20" i="4" s="1"/>
  <c r="M20" i="4"/>
  <c r="T20" i="4"/>
  <c r="G21" i="4"/>
  <c r="H21" i="4"/>
  <c r="O21" i="4" s="1"/>
  <c r="I21" i="4"/>
  <c r="J21" i="4"/>
  <c r="Q21" i="4" s="1"/>
  <c r="M21" i="4"/>
  <c r="T21" i="4"/>
  <c r="G22" i="4"/>
  <c r="H22" i="4"/>
  <c r="O22" i="4" s="1"/>
  <c r="I22" i="4"/>
  <c r="P22" i="4" s="1"/>
  <c r="J22" i="4"/>
  <c r="Q22" i="4" s="1"/>
  <c r="M22" i="4"/>
  <c r="T22" i="4"/>
  <c r="G23" i="4"/>
  <c r="H23" i="4"/>
  <c r="O23" i="4" s="1"/>
  <c r="I23" i="4"/>
  <c r="J23" i="4"/>
  <c r="Q23" i="4" s="1"/>
  <c r="M23" i="4"/>
  <c r="T23" i="4"/>
  <c r="G24" i="4"/>
  <c r="H24" i="4"/>
  <c r="O24" i="4" s="1"/>
  <c r="I24" i="4"/>
  <c r="P24" i="4" s="1"/>
  <c r="J24" i="4"/>
  <c r="Q24" i="4" s="1"/>
  <c r="M24" i="4"/>
  <c r="T24" i="4"/>
  <c r="G25" i="4"/>
  <c r="H25" i="4"/>
  <c r="O25" i="4" s="1"/>
  <c r="I25" i="4"/>
  <c r="J25" i="4"/>
  <c r="Q25" i="4" s="1"/>
  <c r="M25" i="4"/>
  <c r="T25" i="4"/>
  <c r="G26" i="4"/>
  <c r="H26" i="4"/>
  <c r="I26" i="4"/>
  <c r="P26" i="4" s="1"/>
  <c r="J26" i="4"/>
  <c r="Q26" i="4" s="1"/>
  <c r="M26" i="4"/>
  <c r="T26" i="4"/>
  <c r="G27" i="4"/>
  <c r="H27" i="4"/>
  <c r="O27" i="4" s="1"/>
  <c r="I27" i="4"/>
  <c r="J27" i="4"/>
  <c r="Q27" i="4" s="1"/>
  <c r="M27" i="4"/>
  <c r="T27" i="4"/>
  <c r="G28" i="4"/>
  <c r="H28" i="4"/>
  <c r="O28" i="4" s="1"/>
  <c r="I28" i="4"/>
  <c r="P28" i="4" s="1"/>
  <c r="J28" i="4"/>
  <c r="Q28" i="4" s="1"/>
  <c r="M28" i="4"/>
  <c r="T28" i="4"/>
  <c r="G29" i="4"/>
  <c r="H29" i="4"/>
  <c r="O29" i="4" s="1"/>
  <c r="I29" i="4"/>
  <c r="J29" i="4"/>
  <c r="Q29" i="4" s="1"/>
  <c r="M29" i="4"/>
  <c r="T29" i="4"/>
  <c r="G30" i="4"/>
  <c r="H30" i="4"/>
  <c r="O30" i="4" s="1"/>
  <c r="I30" i="4"/>
  <c r="P30" i="4" s="1"/>
  <c r="J30" i="4"/>
  <c r="Q30" i="4" s="1"/>
  <c r="M30" i="4"/>
  <c r="T30" i="4"/>
  <c r="G31" i="4"/>
  <c r="H31" i="4"/>
  <c r="O31" i="4" s="1"/>
  <c r="I31" i="4"/>
  <c r="J31" i="4"/>
  <c r="Q31" i="4" s="1"/>
  <c r="M31" i="4"/>
  <c r="T31" i="4"/>
  <c r="G32" i="4"/>
  <c r="H32" i="4"/>
  <c r="O32" i="4" s="1"/>
  <c r="I32" i="4"/>
  <c r="P32" i="4" s="1"/>
  <c r="J32" i="4"/>
  <c r="Q32" i="4" s="1"/>
  <c r="M32" i="4"/>
  <c r="T32" i="4"/>
  <c r="G33" i="4"/>
  <c r="H33" i="4"/>
  <c r="O33" i="4" s="1"/>
  <c r="I33" i="4"/>
  <c r="J33" i="4"/>
  <c r="Q33" i="4" s="1"/>
  <c r="M33" i="4"/>
  <c r="T33" i="4"/>
  <c r="G34" i="4"/>
  <c r="H34" i="4"/>
  <c r="I34" i="4"/>
  <c r="P34" i="4" s="1"/>
  <c r="J34" i="4"/>
  <c r="Q34" i="4" s="1"/>
  <c r="M34" i="4"/>
  <c r="T34" i="4"/>
  <c r="G35" i="4"/>
  <c r="H35" i="4"/>
  <c r="O35" i="4" s="1"/>
  <c r="I35" i="4"/>
  <c r="J35" i="4"/>
  <c r="Q35" i="4" s="1"/>
  <c r="M35" i="4"/>
  <c r="T35" i="4"/>
  <c r="G36" i="4"/>
  <c r="H36" i="4"/>
  <c r="O36" i="4" s="1"/>
  <c r="I36" i="4"/>
  <c r="P36" i="4" s="1"/>
  <c r="J36" i="4"/>
  <c r="Q36" i="4" s="1"/>
  <c r="M36" i="4"/>
  <c r="T36" i="4"/>
  <c r="G37" i="4"/>
  <c r="H37" i="4"/>
  <c r="O37" i="4" s="1"/>
  <c r="I37" i="4"/>
  <c r="J37" i="4"/>
  <c r="Q37" i="4" s="1"/>
  <c r="M37" i="4"/>
  <c r="T37" i="4"/>
  <c r="G38" i="4"/>
  <c r="H38" i="4"/>
  <c r="O38" i="4" s="1"/>
  <c r="I38" i="4"/>
  <c r="P38" i="4" s="1"/>
  <c r="J38" i="4"/>
  <c r="Q38" i="4" s="1"/>
  <c r="M38" i="4"/>
  <c r="T38" i="4"/>
  <c r="G39" i="4"/>
  <c r="H39" i="4"/>
  <c r="O39" i="4" s="1"/>
  <c r="I39" i="4"/>
  <c r="J39" i="4"/>
  <c r="Q39" i="4" s="1"/>
  <c r="M39" i="4"/>
  <c r="T39" i="4"/>
  <c r="G40" i="4"/>
  <c r="H40" i="4"/>
  <c r="O40" i="4" s="1"/>
  <c r="I40" i="4"/>
  <c r="P40" i="4" s="1"/>
  <c r="J40" i="4"/>
  <c r="Q40" i="4" s="1"/>
  <c r="M40" i="4"/>
  <c r="T40" i="4"/>
  <c r="G41" i="4"/>
  <c r="H41" i="4"/>
  <c r="O41" i="4" s="1"/>
  <c r="I41" i="4"/>
  <c r="J41" i="4"/>
  <c r="Q41" i="4" s="1"/>
  <c r="M41" i="4"/>
  <c r="T41" i="4"/>
  <c r="G42" i="4"/>
  <c r="H42" i="4"/>
  <c r="I42" i="4"/>
  <c r="P42" i="4" s="1"/>
  <c r="J42" i="4"/>
  <c r="Q42" i="4" s="1"/>
  <c r="M42" i="4"/>
  <c r="T42" i="4"/>
  <c r="K1" i="3"/>
  <c r="L4" i="3"/>
  <c r="M4" i="3"/>
  <c r="W4" i="3"/>
  <c r="Q4" i="3"/>
  <c r="T4" i="3" s="1"/>
  <c r="AF4" i="3"/>
  <c r="L5" i="3"/>
  <c r="M5" i="3"/>
  <c r="W5" i="3"/>
  <c r="Y5" i="3" s="1"/>
  <c r="X5" i="3"/>
  <c r="Z5" i="3" s="1"/>
  <c r="AF5" i="3"/>
  <c r="L6" i="3"/>
  <c r="M6" i="3"/>
  <c r="X6" i="3"/>
  <c r="Z6" i="3" s="1"/>
  <c r="W6" i="3"/>
  <c r="Y6" i="3" s="1"/>
  <c r="AF6" i="3"/>
  <c r="L7" i="3"/>
  <c r="M7" i="3"/>
  <c r="W7" i="3"/>
  <c r="X7" i="3"/>
  <c r="Z7" i="3" s="1"/>
  <c r="AF7" i="3"/>
  <c r="L8" i="3"/>
  <c r="M8" i="3"/>
  <c r="W8" i="3"/>
  <c r="Y8" i="3" s="1"/>
  <c r="AF8" i="3"/>
  <c r="L9" i="3"/>
  <c r="M9" i="3"/>
  <c r="X9" i="3"/>
  <c r="Z9" i="3" s="1"/>
  <c r="W9" i="3"/>
  <c r="Y9" i="3" s="1"/>
  <c r="AF9" i="3"/>
  <c r="L10" i="3"/>
  <c r="M10" i="3"/>
  <c r="W10" i="3"/>
  <c r="Y10" i="3" s="1"/>
  <c r="X10" i="3"/>
  <c r="Z10" i="3" s="1"/>
  <c r="AF10" i="3"/>
  <c r="L11" i="3"/>
  <c r="M11" i="3"/>
  <c r="W11" i="3"/>
  <c r="X11" i="3"/>
  <c r="Z11" i="3" s="1"/>
  <c r="AF11" i="3"/>
  <c r="L12" i="3"/>
  <c r="M12" i="3"/>
  <c r="W12" i="3"/>
  <c r="Y12" i="3" s="1"/>
  <c r="X12" i="3"/>
  <c r="Z12" i="3" s="1"/>
  <c r="AF12" i="3"/>
  <c r="L13" i="3"/>
  <c r="M13" i="3"/>
  <c r="X13" i="3"/>
  <c r="Z13" i="3" s="1"/>
  <c r="W13" i="3"/>
  <c r="Y13" i="3" s="1"/>
  <c r="AF13" i="3"/>
  <c r="L14" i="3"/>
  <c r="M14" i="3"/>
  <c r="W14" i="3"/>
  <c r="Y14" i="3" s="1"/>
  <c r="AF14" i="3"/>
  <c r="L15" i="3"/>
  <c r="M15" i="3"/>
  <c r="X15" i="3"/>
  <c r="Z15" i="3" s="1"/>
  <c r="W15" i="3"/>
  <c r="Y15" i="3" s="1"/>
  <c r="AF15" i="3"/>
  <c r="L16" i="3"/>
  <c r="M16" i="3"/>
  <c r="X16" i="3"/>
  <c r="Z16" i="3" s="1"/>
  <c r="W16" i="3"/>
  <c r="Y16" i="3" s="1"/>
  <c r="AF16" i="3"/>
  <c r="L17" i="3"/>
  <c r="M17" i="3"/>
  <c r="X17" i="3"/>
  <c r="Z17" i="3" s="1"/>
  <c r="W17" i="3"/>
  <c r="AF17" i="3"/>
  <c r="L18" i="3"/>
  <c r="M18" i="3"/>
  <c r="W18" i="3"/>
  <c r="Y18" i="3" s="1"/>
  <c r="X18" i="3"/>
  <c r="Z18" i="3" s="1"/>
  <c r="AF18" i="3"/>
  <c r="L19" i="3"/>
  <c r="M19" i="3"/>
  <c r="W19" i="3"/>
  <c r="X19" i="3"/>
  <c r="Z19" i="3" s="1"/>
  <c r="AF19" i="3"/>
  <c r="L20" i="3"/>
  <c r="M20" i="3"/>
  <c r="W20" i="3"/>
  <c r="X20" i="3"/>
  <c r="Z20" i="3" s="1"/>
  <c r="AF20" i="3"/>
  <c r="L21" i="3"/>
  <c r="M21" i="3"/>
  <c r="W21" i="3"/>
  <c r="Y21" i="3" s="1"/>
  <c r="X21" i="3"/>
  <c r="Z21" i="3" s="1"/>
  <c r="AF21" i="3"/>
  <c r="L22" i="3"/>
  <c r="M22" i="3"/>
  <c r="X22" i="3"/>
  <c r="Z22" i="3" s="1"/>
  <c r="W22" i="3"/>
  <c r="Y22" i="3" s="1"/>
  <c r="AF22" i="3"/>
  <c r="L23" i="3"/>
  <c r="M23" i="3"/>
  <c r="W23" i="3"/>
  <c r="X23" i="3"/>
  <c r="Z23" i="3" s="1"/>
  <c r="AF23" i="3"/>
  <c r="L24" i="3"/>
  <c r="M24" i="3"/>
  <c r="X24" i="3"/>
  <c r="Z24" i="3" s="1"/>
  <c r="W24" i="3"/>
  <c r="Y24" i="3" s="1"/>
  <c r="AF24" i="3"/>
  <c r="L25" i="3"/>
  <c r="M25" i="3"/>
  <c r="X25" i="3"/>
  <c r="Z25" i="3" s="1"/>
  <c r="W25" i="3"/>
  <c r="Y25" i="3" s="1"/>
  <c r="AF25" i="3"/>
  <c r="L26" i="3"/>
  <c r="M26" i="3"/>
  <c r="W26" i="3"/>
  <c r="Y26" i="3" s="1"/>
  <c r="X26" i="3"/>
  <c r="Z26" i="3" s="1"/>
  <c r="AF26" i="3"/>
  <c r="L27" i="3"/>
  <c r="M27" i="3"/>
  <c r="W27" i="3"/>
  <c r="X27" i="3"/>
  <c r="Z27" i="3" s="1"/>
  <c r="AF27" i="3"/>
  <c r="L28" i="3"/>
  <c r="M28" i="3"/>
  <c r="W28" i="3"/>
  <c r="X28" i="3"/>
  <c r="Z28" i="3" s="1"/>
  <c r="AF28" i="3"/>
  <c r="L29" i="3"/>
  <c r="M29" i="3"/>
  <c r="W29" i="3"/>
  <c r="Y29" i="3" s="1"/>
  <c r="X29" i="3"/>
  <c r="Z29" i="3" s="1"/>
  <c r="AF29" i="3"/>
  <c r="L30" i="3"/>
  <c r="M30" i="3"/>
  <c r="X30" i="3"/>
  <c r="Z30" i="3" s="1"/>
  <c r="W30" i="3"/>
  <c r="Y30" i="3" s="1"/>
  <c r="AF30" i="3"/>
  <c r="L31" i="3"/>
  <c r="M31" i="3"/>
  <c r="X31" i="3"/>
  <c r="Z31" i="3" s="1"/>
  <c r="W31" i="3"/>
  <c r="Y31" i="3" s="1"/>
  <c r="AF31" i="3"/>
  <c r="L32" i="3"/>
  <c r="M32" i="3"/>
  <c r="W32" i="3"/>
  <c r="X32" i="3"/>
  <c r="Z32" i="3" s="1"/>
  <c r="AF32" i="3"/>
  <c r="L33" i="3"/>
  <c r="M33" i="3"/>
  <c r="W33" i="3"/>
  <c r="Y33" i="3" s="1"/>
  <c r="X33" i="3"/>
  <c r="Z33" i="3" s="1"/>
  <c r="AF33" i="3"/>
  <c r="L34" i="3"/>
  <c r="M34" i="3"/>
  <c r="X34" i="3"/>
  <c r="Z34" i="3" s="1"/>
  <c r="W34" i="3"/>
  <c r="Y34" i="3" s="1"/>
  <c r="AF34" i="3"/>
  <c r="L35" i="3"/>
  <c r="M35" i="3"/>
  <c r="X35" i="3"/>
  <c r="Z35" i="3" s="1"/>
  <c r="W35" i="3"/>
  <c r="Y35" i="3" s="1"/>
  <c r="AF35" i="3"/>
  <c r="L36" i="3"/>
  <c r="M36" i="3"/>
  <c r="W36" i="3"/>
  <c r="X36" i="3"/>
  <c r="Z36" i="3" s="1"/>
  <c r="AF36" i="3"/>
  <c r="L37" i="3"/>
  <c r="M37" i="3"/>
  <c r="W37" i="3"/>
  <c r="Y37" i="3" s="1"/>
  <c r="X37" i="3"/>
  <c r="Z37" i="3" s="1"/>
  <c r="AF37" i="3"/>
  <c r="L38" i="3"/>
  <c r="M38" i="3"/>
  <c r="X38" i="3"/>
  <c r="Z38" i="3" s="1"/>
  <c r="W38" i="3"/>
  <c r="Y38" i="3" s="1"/>
  <c r="AF38" i="3"/>
  <c r="L39" i="3"/>
  <c r="M39" i="3"/>
  <c r="X39" i="3"/>
  <c r="Z39" i="3" s="1"/>
  <c r="W39" i="3"/>
  <c r="Y39" i="3" s="1"/>
  <c r="AF39" i="3"/>
  <c r="L40" i="3"/>
  <c r="M40" i="3"/>
  <c r="W40" i="3"/>
  <c r="X40" i="3"/>
  <c r="Z40" i="3" s="1"/>
  <c r="AF40" i="3"/>
  <c r="L41" i="3"/>
  <c r="M41" i="3"/>
  <c r="W41" i="3"/>
  <c r="X41" i="3"/>
  <c r="Z41" i="3" s="1"/>
  <c r="AF41" i="3"/>
  <c r="L42" i="3"/>
  <c r="M42" i="3"/>
  <c r="W42" i="3"/>
  <c r="Y42" i="3" s="1"/>
  <c r="X42" i="3"/>
  <c r="Z42" i="3" s="1"/>
  <c r="AF42" i="3"/>
  <c r="L43" i="3"/>
  <c r="M43" i="3"/>
  <c r="W43" i="3"/>
  <c r="X43" i="3"/>
  <c r="Z43" i="3" s="1"/>
  <c r="AF43" i="3"/>
  <c r="L44" i="3"/>
  <c r="M44" i="3"/>
  <c r="W44" i="3"/>
  <c r="Y44" i="3" s="1"/>
  <c r="X44" i="3"/>
  <c r="Z44" i="3" s="1"/>
  <c r="AF44" i="3"/>
  <c r="L45" i="3"/>
  <c r="M45" i="3"/>
  <c r="W45" i="3"/>
  <c r="Y45" i="3" s="1"/>
  <c r="X45" i="3"/>
  <c r="Z45" i="3" s="1"/>
  <c r="AF45" i="3"/>
  <c r="L46" i="3"/>
  <c r="M46" i="3"/>
  <c r="W46" i="3"/>
  <c r="Y46" i="3" s="1"/>
  <c r="X46" i="3"/>
  <c r="Z46" i="3" s="1"/>
  <c r="AF46" i="3"/>
  <c r="L47" i="3"/>
  <c r="M47" i="3"/>
  <c r="W47" i="3"/>
  <c r="Y47" i="3" s="1"/>
  <c r="X47" i="3"/>
  <c r="Z47" i="3" s="1"/>
  <c r="AF47" i="3"/>
  <c r="L48" i="3"/>
  <c r="M48" i="3"/>
  <c r="W48" i="3"/>
  <c r="Y48" i="3" s="1"/>
  <c r="X48" i="3"/>
  <c r="Z48" i="3" s="1"/>
  <c r="AF48" i="3"/>
  <c r="L49" i="3"/>
  <c r="M49" i="3"/>
  <c r="W49" i="3"/>
  <c r="Y49" i="3" s="1"/>
  <c r="X49" i="3"/>
  <c r="Z49" i="3" s="1"/>
  <c r="AF49" i="3"/>
  <c r="L50" i="3"/>
  <c r="M50" i="3"/>
  <c r="X50" i="3"/>
  <c r="Z50" i="3" s="1"/>
  <c r="W50" i="3"/>
  <c r="Y50" i="3" s="1"/>
  <c r="AF50" i="3"/>
  <c r="L51" i="3"/>
  <c r="M51" i="3"/>
  <c r="W51" i="3"/>
  <c r="Y51" i="3" s="1"/>
  <c r="X51" i="3"/>
  <c r="Z51" i="3" s="1"/>
  <c r="AF51" i="3"/>
  <c r="L52" i="3"/>
  <c r="M52" i="3"/>
  <c r="W52" i="3"/>
  <c r="X52" i="3"/>
  <c r="Z52" i="3" s="1"/>
  <c r="AF52" i="3"/>
  <c r="L53" i="3"/>
  <c r="M53" i="3"/>
  <c r="W53" i="3"/>
  <c r="Y53" i="3" s="1"/>
  <c r="X53" i="3"/>
  <c r="Z53" i="3" s="1"/>
  <c r="AF53" i="3"/>
  <c r="L54" i="3"/>
  <c r="M54" i="3"/>
  <c r="W54" i="3"/>
  <c r="X54" i="3"/>
  <c r="Z54" i="3" s="1"/>
  <c r="AF54" i="3"/>
  <c r="L55" i="3"/>
  <c r="M55" i="3"/>
  <c r="X55" i="3"/>
  <c r="Z55" i="3" s="1"/>
  <c r="W55" i="3"/>
  <c r="Y55" i="3" s="1"/>
  <c r="AF55" i="3"/>
  <c r="L56" i="3"/>
  <c r="M56" i="3"/>
  <c r="W56" i="3"/>
  <c r="X56" i="3"/>
  <c r="Z56" i="3" s="1"/>
  <c r="AF56" i="3"/>
  <c r="L57" i="3"/>
  <c r="M57" i="3"/>
  <c r="W57" i="3"/>
  <c r="X57" i="3"/>
  <c r="Z57" i="3" s="1"/>
  <c r="AF57" i="3"/>
  <c r="L58" i="3"/>
  <c r="M58" i="3"/>
  <c r="W58" i="3"/>
  <c r="X58" i="3"/>
  <c r="Z58" i="3" s="1"/>
  <c r="AF58" i="3"/>
  <c r="L59" i="3"/>
  <c r="M59" i="3"/>
  <c r="X59" i="3"/>
  <c r="Z59" i="3" s="1"/>
  <c r="W59" i="3"/>
  <c r="Y59" i="3" s="1"/>
  <c r="AF59" i="3"/>
  <c r="L60" i="3"/>
  <c r="M60" i="3"/>
  <c r="W60" i="3"/>
  <c r="Y60" i="3" s="1"/>
  <c r="X60" i="3"/>
  <c r="Z60" i="3" s="1"/>
  <c r="AF60" i="3"/>
  <c r="L61" i="3"/>
  <c r="M61" i="3"/>
  <c r="W61" i="3"/>
  <c r="X61" i="3"/>
  <c r="Z61" i="3" s="1"/>
  <c r="AF61" i="3"/>
  <c r="L62" i="3"/>
  <c r="M62" i="3"/>
  <c r="W62" i="3"/>
  <c r="X62" i="3"/>
  <c r="Z62" i="3" s="1"/>
  <c r="AF62" i="3"/>
  <c r="L63" i="3"/>
  <c r="M63" i="3"/>
  <c r="W63" i="3"/>
  <c r="X63" i="3"/>
  <c r="Z63" i="3" s="1"/>
  <c r="AF63" i="3"/>
  <c r="L64" i="3"/>
  <c r="M64" i="3"/>
  <c r="W64" i="3"/>
  <c r="Y64" i="3" s="1"/>
  <c r="AF64" i="3"/>
  <c r="L65" i="3"/>
  <c r="M65" i="3"/>
  <c r="W65" i="3"/>
  <c r="Y65" i="3" s="1"/>
  <c r="AF65" i="3"/>
  <c r="L66" i="3"/>
  <c r="M66" i="3"/>
  <c r="W66" i="3"/>
  <c r="Y66" i="3" s="1"/>
  <c r="AF66" i="3"/>
  <c r="L67" i="3"/>
  <c r="M67" i="3"/>
  <c r="W67" i="3"/>
  <c r="Y67" i="3" s="1"/>
  <c r="AF67" i="3"/>
  <c r="L68" i="3"/>
  <c r="M68" i="3"/>
  <c r="W68" i="3"/>
  <c r="Y68" i="3" s="1"/>
  <c r="AF68" i="3"/>
  <c r="L69" i="3"/>
  <c r="M69" i="3"/>
  <c r="W69" i="3"/>
  <c r="Y69" i="3" s="1"/>
  <c r="AF69" i="3"/>
  <c r="L70" i="3"/>
  <c r="M70" i="3"/>
  <c r="W70" i="3"/>
  <c r="Y70" i="3" s="1"/>
  <c r="AF70" i="3"/>
  <c r="L71" i="3"/>
  <c r="M71" i="3"/>
  <c r="W71" i="3"/>
  <c r="Y71" i="3" s="1"/>
  <c r="AF71" i="3"/>
  <c r="L72" i="3"/>
  <c r="M72" i="3"/>
  <c r="W72" i="3"/>
  <c r="Y72" i="3" s="1"/>
  <c r="AF72" i="3"/>
  <c r="L73" i="3"/>
  <c r="M73" i="3"/>
  <c r="W73" i="3"/>
  <c r="Y73" i="3" s="1"/>
  <c r="AF73" i="3"/>
  <c r="L74" i="3"/>
  <c r="M74" i="3"/>
  <c r="AF74" i="3"/>
  <c r="L75" i="3"/>
  <c r="M75" i="3"/>
  <c r="AF75" i="3"/>
  <c r="L76" i="3"/>
  <c r="M76" i="3"/>
  <c r="AF76" i="3"/>
  <c r="L77" i="3"/>
  <c r="M77" i="3"/>
  <c r="AF77" i="3"/>
  <c r="L78" i="3"/>
  <c r="M78" i="3"/>
  <c r="AF78" i="3"/>
  <c r="L79" i="3"/>
  <c r="M79" i="3"/>
  <c r="AF79" i="3"/>
  <c r="L80" i="3"/>
  <c r="M80" i="3"/>
  <c r="AF80" i="3"/>
  <c r="L81" i="3"/>
  <c r="M81" i="3"/>
  <c r="AF81" i="3"/>
  <c r="L82" i="3"/>
  <c r="M82" i="3"/>
  <c r="AF82" i="3"/>
  <c r="L83" i="3"/>
  <c r="M83" i="3"/>
  <c r="AF83" i="3"/>
  <c r="L84" i="3"/>
  <c r="M84" i="3"/>
  <c r="AF84" i="3"/>
  <c r="L85" i="3"/>
  <c r="M85" i="3"/>
  <c r="W85" i="3"/>
  <c r="AF85" i="3"/>
  <c r="L86" i="3"/>
  <c r="M86" i="3"/>
  <c r="W86" i="3"/>
  <c r="AF86" i="3"/>
  <c r="L87" i="3"/>
  <c r="M87" i="3"/>
  <c r="W87" i="3"/>
  <c r="AF87" i="3"/>
  <c r="L88" i="3"/>
  <c r="M88" i="3"/>
  <c r="W88" i="3"/>
  <c r="AF88" i="3"/>
  <c r="L89" i="3"/>
  <c r="M89" i="3"/>
  <c r="W89" i="3"/>
  <c r="AF89" i="3"/>
  <c r="L90" i="3"/>
  <c r="M90" i="3"/>
  <c r="W90" i="3"/>
  <c r="AF90" i="3"/>
  <c r="L91" i="3"/>
  <c r="M91" i="3"/>
  <c r="W91" i="3"/>
  <c r="AF91" i="3"/>
  <c r="L92" i="3"/>
  <c r="M92" i="3"/>
  <c r="W92" i="3"/>
  <c r="X92" i="3"/>
  <c r="Z92" i="3" s="1"/>
  <c r="AF92" i="3"/>
  <c r="L93" i="3"/>
  <c r="M93" i="3"/>
  <c r="W93" i="3"/>
  <c r="X93" i="3"/>
  <c r="Z93" i="3" s="1"/>
  <c r="AF93" i="3"/>
  <c r="L94" i="3"/>
  <c r="M94" i="3"/>
  <c r="W94" i="3"/>
  <c r="AF94" i="3"/>
  <c r="L95" i="3"/>
  <c r="M95" i="3"/>
  <c r="W95" i="3"/>
  <c r="Y95" i="3" s="1"/>
  <c r="X95" i="3"/>
  <c r="Z95" i="3" s="1"/>
  <c r="AF95" i="3"/>
  <c r="L96" i="3"/>
  <c r="M96" i="3"/>
  <c r="W96" i="3"/>
  <c r="X96" i="3"/>
  <c r="Z96" i="3" s="1"/>
  <c r="AF96" i="3"/>
  <c r="L97" i="3"/>
  <c r="M97" i="3"/>
  <c r="W97" i="3"/>
  <c r="X97" i="3"/>
  <c r="Z97" i="3" s="1"/>
  <c r="AF97" i="3"/>
  <c r="L98" i="3"/>
  <c r="M98" i="3"/>
  <c r="W98" i="3"/>
  <c r="AF98" i="3"/>
  <c r="L99" i="3"/>
  <c r="M99" i="3"/>
  <c r="W99" i="3"/>
  <c r="Y99" i="3" s="1"/>
  <c r="X99" i="3"/>
  <c r="Z99" i="3" s="1"/>
  <c r="AF99" i="3"/>
  <c r="L100" i="3"/>
  <c r="M100" i="3"/>
  <c r="W100" i="3"/>
  <c r="X100" i="3"/>
  <c r="Z100" i="3" s="1"/>
  <c r="AF100" i="3"/>
  <c r="L101" i="3"/>
  <c r="M101" i="3"/>
  <c r="W101" i="3"/>
  <c r="X101" i="3"/>
  <c r="Z101" i="3" s="1"/>
  <c r="AF101" i="3"/>
  <c r="L102" i="3"/>
  <c r="M102" i="3"/>
  <c r="W102" i="3"/>
  <c r="AF102" i="3"/>
  <c r="L103" i="3"/>
  <c r="M103" i="3"/>
  <c r="W103" i="3"/>
  <c r="T103" i="3"/>
  <c r="X103" i="3"/>
  <c r="Z103" i="3" s="1"/>
  <c r="AF103" i="3"/>
  <c r="L104" i="3"/>
  <c r="M104" i="3"/>
  <c r="W104" i="3"/>
  <c r="Y104" i="3" s="1"/>
  <c r="X104" i="3"/>
  <c r="Z104" i="3" s="1"/>
  <c r="AF104" i="3"/>
  <c r="L105" i="3"/>
  <c r="M105" i="3"/>
  <c r="W105" i="3"/>
  <c r="Y105" i="3" s="1"/>
  <c r="AF105" i="3"/>
  <c r="L106" i="3"/>
  <c r="M106" i="3"/>
  <c r="X106" i="3"/>
  <c r="Z106" i="3" s="1"/>
  <c r="W106" i="3"/>
  <c r="Y106" i="3" s="1"/>
  <c r="AF106" i="3"/>
  <c r="L107" i="3"/>
  <c r="M107" i="3"/>
  <c r="W107" i="3"/>
  <c r="Y107" i="3" s="1"/>
  <c r="AF107" i="3"/>
  <c r="L108" i="3"/>
  <c r="M108" i="3"/>
  <c r="W108" i="3"/>
  <c r="Y108" i="3" s="1"/>
  <c r="AF108" i="3"/>
  <c r="L109" i="3"/>
  <c r="M109" i="3"/>
  <c r="W109" i="3"/>
  <c r="Y109" i="3" s="1"/>
  <c r="AF109" i="3"/>
  <c r="L110" i="3"/>
  <c r="M110" i="3"/>
  <c r="X110" i="3"/>
  <c r="Z110" i="3" s="1"/>
  <c r="W110" i="3"/>
  <c r="Y110" i="3" s="1"/>
  <c r="AF110" i="3"/>
  <c r="L111" i="3"/>
  <c r="M111" i="3"/>
  <c r="X111" i="3"/>
  <c r="Z111" i="3" s="1"/>
  <c r="W111" i="3"/>
  <c r="Y111" i="3" s="1"/>
  <c r="AF111" i="3"/>
  <c r="L112" i="3"/>
  <c r="M112" i="3"/>
  <c r="W112" i="3"/>
  <c r="Y112" i="3" s="1"/>
  <c r="AF112" i="3"/>
  <c r="L113" i="3"/>
  <c r="M113" i="3"/>
  <c r="W113" i="3"/>
  <c r="Y113" i="3" s="1"/>
  <c r="AF113" i="3"/>
  <c r="L114" i="3"/>
  <c r="M114" i="3"/>
  <c r="W114" i="3"/>
  <c r="Y114" i="3" s="1"/>
  <c r="AF114" i="3"/>
  <c r="L115" i="3"/>
  <c r="M115" i="3"/>
  <c r="W115" i="3"/>
  <c r="Y115" i="3" s="1"/>
  <c r="AF115" i="3"/>
  <c r="L116" i="3"/>
  <c r="M116" i="3"/>
  <c r="W116" i="3"/>
  <c r="Y116" i="3" s="1"/>
  <c r="AF116" i="3"/>
  <c r="L117" i="3"/>
  <c r="M117" i="3"/>
  <c r="W117" i="3"/>
  <c r="Y117" i="3" s="1"/>
  <c r="AF117" i="3"/>
  <c r="L118" i="3"/>
  <c r="M118" i="3"/>
  <c r="W118" i="3"/>
  <c r="Y118" i="3" s="1"/>
  <c r="AF118" i="3"/>
  <c r="L119" i="3"/>
  <c r="M119" i="3"/>
  <c r="W119" i="3"/>
  <c r="Y119" i="3" s="1"/>
  <c r="AF119" i="3"/>
  <c r="L120" i="3"/>
  <c r="M120" i="3"/>
  <c r="W120" i="3"/>
  <c r="Y120" i="3" s="1"/>
  <c r="AF120" i="3"/>
  <c r="L121" i="3"/>
  <c r="M121" i="3"/>
  <c r="W121" i="3"/>
  <c r="Y121" i="3" s="1"/>
  <c r="AF121" i="3"/>
  <c r="L122" i="3"/>
  <c r="M122" i="3"/>
  <c r="W122" i="3"/>
  <c r="Y122" i="3" s="1"/>
  <c r="AF122" i="3"/>
  <c r="L123" i="3"/>
  <c r="M123" i="3"/>
  <c r="W123" i="3"/>
  <c r="AF123" i="3"/>
  <c r="L124" i="3"/>
  <c r="M124" i="3"/>
  <c r="W124" i="3"/>
  <c r="Y124" i="3" s="1"/>
  <c r="X124" i="3"/>
  <c r="Z124" i="3" s="1"/>
  <c r="AF124" i="3"/>
  <c r="L125" i="3"/>
  <c r="M125" i="3"/>
  <c r="W125" i="3"/>
  <c r="Y125" i="3" s="1"/>
  <c r="AF125" i="3"/>
  <c r="L126" i="3"/>
  <c r="M126" i="3"/>
  <c r="W126" i="3"/>
  <c r="Y126" i="3" s="1"/>
  <c r="X126" i="3"/>
  <c r="Z126" i="3" s="1"/>
  <c r="AF126" i="3"/>
  <c r="L127" i="3"/>
  <c r="M127" i="3"/>
  <c r="W127" i="3"/>
  <c r="Y127" i="3" s="1"/>
  <c r="AF127" i="3"/>
  <c r="L128" i="3"/>
  <c r="M128" i="3"/>
  <c r="W128" i="3"/>
  <c r="Y128" i="3" s="1"/>
  <c r="X128" i="3"/>
  <c r="Z128" i="3" s="1"/>
  <c r="AF128" i="3"/>
  <c r="L129" i="3"/>
  <c r="M129" i="3"/>
  <c r="W129" i="3"/>
  <c r="Y129" i="3" s="1"/>
  <c r="AF129" i="3"/>
  <c r="L130" i="3"/>
  <c r="M130" i="3"/>
  <c r="W130" i="3"/>
  <c r="Y130" i="3" s="1"/>
  <c r="X130" i="3"/>
  <c r="Z130" i="3" s="1"/>
  <c r="AF130" i="3"/>
  <c r="L131" i="3"/>
  <c r="M131" i="3"/>
  <c r="W131" i="3"/>
  <c r="AF131" i="3"/>
  <c r="L132" i="3"/>
  <c r="M132" i="3"/>
  <c r="W132" i="3"/>
  <c r="Y132" i="3" s="1"/>
  <c r="X132" i="3"/>
  <c r="Z132" i="3" s="1"/>
  <c r="AF132" i="3"/>
  <c r="L133" i="3"/>
  <c r="M133" i="3"/>
  <c r="W133" i="3"/>
  <c r="Y133" i="3" s="1"/>
  <c r="AF133" i="3"/>
  <c r="L134" i="3"/>
  <c r="M134" i="3"/>
  <c r="W134" i="3"/>
  <c r="Y134" i="3" s="1"/>
  <c r="X134" i="3"/>
  <c r="Z134" i="3" s="1"/>
  <c r="AF134" i="3"/>
  <c r="L135" i="3"/>
  <c r="M135" i="3"/>
  <c r="AF135" i="3"/>
  <c r="L136" i="3"/>
  <c r="M136" i="3"/>
  <c r="AF136" i="3"/>
  <c r="L137" i="3"/>
  <c r="M137" i="3"/>
  <c r="AF137" i="3"/>
  <c r="L138" i="3"/>
  <c r="M138" i="3"/>
  <c r="AF138" i="3"/>
  <c r="L139" i="3"/>
  <c r="M139" i="3"/>
  <c r="AF139" i="3"/>
  <c r="L140" i="3"/>
  <c r="M140" i="3"/>
  <c r="AF140" i="3"/>
  <c r="L141" i="3"/>
  <c r="M141" i="3"/>
  <c r="AF141" i="3"/>
  <c r="L142" i="3"/>
  <c r="M142" i="3"/>
  <c r="AF142" i="3"/>
  <c r="L143" i="3"/>
  <c r="M143" i="3"/>
  <c r="AF143" i="3"/>
  <c r="L144" i="3"/>
  <c r="M144" i="3"/>
  <c r="AF144" i="3"/>
  <c r="L145" i="3"/>
  <c r="M145" i="3"/>
  <c r="W145" i="3"/>
  <c r="Y145" i="3" s="1"/>
  <c r="AF145" i="3"/>
  <c r="L146" i="3"/>
  <c r="M146" i="3"/>
  <c r="AF146" i="3"/>
  <c r="L147" i="3"/>
  <c r="M147" i="3"/>
  <c r="W147" i="3"/>
  <c r="Y147" i="3" s="1"/>
  <c r="AF147" i="3"/>
  <c r="L148" i="3"/>
  <c r="M148" i="3"/>
  <c r="W148" i="3"/>
  <c r="Y148" i="3" s="1"/>
  <c r="AF148" i="3"/>
  <c r="L149" i="3"/>
  <c r="M149" i="3"/>
  <c r="AF149" i="3"/>
  <c r="L150" i="3"/>
  <c r="M150" i="3"/>
  <c r="AF150" i="3"/>
  <c r="L151" i="3"/>
  <c r="M151" i="3"/>
  <c r="W151" i="3"/>
  <c r="Y151" i="3" s="1"/>
  <c r="AF151" i="3"/>
  <c r="L152" i="3"/>
  <c r="M152" i="3"/>
  <c r="W152" i="3"/>
  <c r="Y152" i="3" s="1"/>
  <c r="AF152" i="3"/>
  <c r="L153" i="3"/>
  <c r="M153" i="3"/>
  <c r="AF153" i="3"/>
  <c r="L154" i="3"/>
  <c r="M154" i="3"/>
  <c r="AF154" i="3"/>
  <c r="L155" i="3"/>
  <c r="M155" i="3"/>
  <c r="AF155" i="3"/>
  <c r="L156" i="3"/>
  <c r="M156" i="3"/>
  <c r="AF156" i="3"/>
  <c r="L157" i="3"/>
  <c r="M157" i="3"/>
  <c r="AF157" i="3"/>
  <c r="L158" i="3"/>
  <c r="M158" i="3"/>
  <c r="AF158" i="3"/>
  <c r="L159" i="3"/>
  <c r="M159" i="3"/>
  <c r="AF159" i="3"/>
  <c r="L160" i="3"/>
  <c r="M160" i="3"/>
  <c r="AF160" i="3"/>
  <c r="L161" i="3"/>
  <c r="M161" i="3"/>
  <c r="AF161" i="3"/>
  <c r="L162" i="3"/>
  <c r="M162" i="3"/>
  <c r="AF162" i="3"/>
  <c r="L163" i="3"/>
  <c r="M163" i="3"/>
  <c r="AF163" i="3"/>
  <c r="L164" i="3"/>
  <c r="M164" i="3"/>
  <c r="AF164" i="3"/>
  <c r="L165" i="3"/>
  <c r="M165" i="3"/>
  <c r="W165" i="3"/>
  <c r="Y165" i="3" s="1"/>
  <c r="AF165" i="3"/>
  <c r="L166" i="3"/>
  <c r="M166" i="3"/>
  <c r="AF166" i="3"/>
  <c r="L167" i="3"/>
  <c r="M167" i="3"/>
  <c r="AF167" i="3"/>
  <c r="L168" i="3"/>
  <c r="M168" i="3"/>
  <c r="AF168" i="3"/>
  <c r="L169" i="3"/>
  <c r="M169" i="3"/>
  <c r="AF169" i="3"/>
  <c r="L170" i="3"/>
  <c r="M170" i="3"/>
  <c r="W170" i="3"/>
  <c r="Y170" i="3" s="1"/>
  <c r="X170" i="3"/>
  <c r="Z170" i="3" s="1"/>
  <c r="AF170" i="3"/>
  <c r="L171" i="3"/>
  <c r="M171" i="3"/>
  <c r="AF171" i="3"/>
  <c r="L172" i="3"/>
  <c r="M172" i="3"/>
  <c r="AF172" i="3"/>
  <c r="L173" i="3"/>
  <c r="M173" i="3"/>
  <c r="AF173" i="3"/>
  <c r="L174" i="3"/>
  <c r="M174" i="3"/>
  <c r="W174" i="3"/>
  <c r="Y174" i="3" s="1"/>
  <c r="AF174" i="3"/>
  <c r="L175" i="3"/>
  <c r="M175" i="3"/>
  <c r="AF175" i="3"/>
  <c r="L176" i="3"/>
  <c r="M176" i="3"/>
  <c r="W176" i="3"/>
  <c r="Y176" i="3" s="1"/>
  <c r="AF176" i="3"/>
  <c r="L177" i="3"/>
  <c r="M177" i="3"/>
  <c r="W177" i="3"/>
  <c r="Y177" i="3" s="1"/>
  <c r="AF177" i="3"/>
  <c r="L178" i="3"/>
  <c r="M178" i="3"/>
  <c r="W178" i="3"/>
  <c r="Y178" i="3" s="1"/>
  <c r="AF178" i="3"/>
  <c r="L179" i="3"/>
  <c r="M179" i="3"/>
  <c r="AF179" i="3"/>
  <c r="L180" i="3"/>
  <c r="M180" i="3"/>
  <c r="AF180" i="3"/>
  <c r="L181" i="3"/>
  <c r="M181" i="3"/>
  <c r="AF181" i="3"/>
  <c r="L182" i="3"/>
  <c r="M182" i="3"/>
  <c r="AF182" i="3"/>
  <c r="L183" i="3"/>
  <c r="M183" i="3"/>
  <c r="AF183" i="3"/>
  <c r="L184" i="3"/>
  <c r="M184" i="3"/>
  <c r="AF184" i="3"/>
  <c r="L185" i="3"/>
  <c r="M185" i="3"/>
  <c r="W185" i="3"/>
  <c r="Y185" i="3" s="1"/>
  <c r="AF185" i="3"/>
  <c r="L186" i="3"/>
  <c r="M186" i="3"/>
  <c r="X186" i="3"/>
  <c r="Z186" i="3" s="1"/>
  <c r="AF186" i="3"/>
  <c r="L187" i="3"/>
  <c r="M187" i="3"/>
  <c r="AF187" i="3"/>
  <c r="L188" i="3"/>
  <c r="M188" i="3"/>
  <c r="AF188" i="3"/>
  <c r="L189" i="3"/>
  <c r="M189" i="3"/>
  <c r="AF189" i="3"/>
  <c r="L190" i="3"/>
  <c r="M190" i="3"/>
  <c r="W190" i="3"/>
  <c r="Y190" i="3" s="1"/>
  <c r="AF190" i="3"/>
  <c r="L191" i="3"/>
  <c r="M191" i="3"/>
  <c r="W191" i="3"/>
  <c r="Y191" i="3" s="1"/>
  <c r="AF191" i="3"/>
  <c r="L192" i="3"/>
  <c r="M192" i="3"/>
  <c r="AF192" i="3"/>
  <c r="L193" i="3"/>
  <c r="M193" i="3"/>
  <c r="AF193" i="3"/>
  <c r="L194" i="3"/>
  <c r="M194" i="3"/>
  <c r="AF194" i="3"/>
  <c r="L195" i="3"/>
  <c r="M195" i="3"/>
  <c r="W195" i="3"/>
  <c r="Y195" i="3" s="1"/>
  <c r="AF195" i="3"/>
  <c r="L196" i="3"/>
  <c r="M196" i="3"/>
  <c r="AF196" i="3"/>
  <c r="L197" i="3"/>
  <c r="M197" i="3"/>
  <c r="X197" i="3"/>
  <c r="Z197" i="3" s="1"/>
  <c r="AF197" i="3"/>
  <c r="L198" i="3"/>
  <c r="M198" i="3"/>
  <c r="W198" i="3"/>
  <c r="AF198" i="3"/>
  <c r="L199" i="3"/>
  <c r="M199" i="3"/>
  <c r="AF199" i="3"/>
  <c r="L200" i="3"/>
  <c r="M200" i="3"/>
  <c r="AF200" i="3"/>
  <c r="L201" i="3"/>
  <c r="M201" i="3"/>
  <c r="W201" i="3"/>
  <c r="AF201" i="3"/>
  <c r="L202" i="3"/>
  <c r="M202" i="3"/>
  <c r="X202" i="3"/>
  <c r="Z202" i="3" s="1"/>
  <c r="AF202" i="3"/>
  <c r="L203" i="3"/>
  <c r="M203" i="3"/>
  <c r="AF203" i="3"/>
  <c r="L204" i="3"/>
  <c r="M204" i="3"/>
  <c r="AF204" i="3"/>
  <c r="L205" i="3"/>
  <c r="M205" i="3"/>
  <c r="W205" i="3"/>
  <c r="Y205" i="3" s="1"/>
  <c r="AF205" i="3"/>
  <c r="L206" i="3"/>
  <c r="M206" i="3"/>
  <c r="W206" i="3"/>
  <c r="X206" i="3"/>
  <c r="Z206" i="3" s="1"/>
  <c r="AF206" i="3"/>
  <c r="L207" i="3"/>
  <c r="M207" i="3"/>
  <c r="W207" i="3"/>
  <c r="Y207" i="3" s="1"/>
  <c r="AF207" i="3"/>
  <c r="L208" i="3"/>
  <c r="M208" i="3"/>
  <c r="W208" i="3"/>
  <c r="Y208" i="3" s="1"/>
  <c r="AF208" i="3"/>
  <c r="L209" i="3"/>
  <c r="M209" i="3"/>
  <c r="AF209" i="3"/>
  <c r="L210" i="3"/>
  <c r="M210" i="3"/>
  <c r="AF210" i="3"/>
  <c r="L211" i="3"/>
  <c r="M211" i="3"/>
  <c r="W211" i="3"/>
  <c r="Y211" i="3" s="1"/>
  <c r="AF211" i="3"/>
  <c r="L212" i="3"/>
  <c r="M212" i="3"/>
  <c r="W212" i="3"/>
  <c r="Y212" i="3" s="1"/>
  <c r="AF212" i="3"/>
  <c r="L213" i="3"/>
  <c r="M213" i="3"/>
  <c r="AF213" i="3"/>
  <c r="L214" i="3"/>
  <c r="M214" i="3"/>
  <c r="W214" i="3"/>
  <c r="Y214" i="3" s="1"/>
  <c r="AF214" i="3"/>
  <c r="L215" i="3"/>
  <c r="M215" i="3"/>
  <c r="W215" i="3"/>
  <c r="Y215" i="3" s="1"/>
  <c r="X215" i="3"/>
  <c r="Z215" i="3" s="1"/>
  <c r="AF215" i="3"/>
  <c r="L216" i="3"/>
  <c r="M216" i="3"/>
  <c r="W216" i="3"/>
  <c r="Y216" i="3" s="1"/>
  <c r="AF216" i="3"/>
  <c r="L217" i="3"/>
  <c r="M217" i="3"/>
  <c r="W217" i="3"/>
  <c r="Y217" i="3" s="1"/>
  <c r="AF217" i="3"/>
  <c r="L218" i="3"/>
  <c r="M218" i="3"/>
  <c r="AF218" i="3"/>
  <c r="L219" i="3"/>
  <c r="M219" i="3"/>
  <c r="AF219" i="3"/>
  <c r="L220" i="3"/>
  <c r="M220" i="3"/>
  <c r="W220" i="3"/>
  <c r="Y220" i="3" s="1"/>
  <c r="AF220" i="3"/>
  <c r="L221" i="3"/>
  <c r="M221" i="3"/>
  <c r="W221" i="3"/>
  <c r="Y221" i="3" s="1"/>
  <c r="AF221" i="3"/>
  <c r="L222" i="3"/>
  <c r="M222" i="3"/>
  <c r="W222" i="3"/>
  <c r="Y222" i="3" s="1"/>
  <c r="AF222" i="3"/>
  <c r="L223" i="3"/>
  <c r="M223" i="3"/>
  <c r="AF223" i="3"/>
  <c r="F224" i="3"/>
  <c r="G224" i="3"/>
  <c r="W224" i="3"/>
  <c r="Y224" i="3" s="1"/>
  <c r="W225" i="3"/>
  <c r="Y225" i="3" s="1"/>
  <c r="X225" i="3"/>
  <c r="W226" i="3"/>
  <c r="Y226" i="3" s="1"/>
  <c r="D12" i="1"/>
  <c r="G20" i="1"/>
  <c r="H20" i="1" s="1"/>
  <c r="J20" i="1"/>
  <c r="K20" i="1" s="1"/>
  <c r="F23" i="1"/>
  <c r="F24" i="1"/>
  <c r="G24" i="1"/>
  <c r="H24" i="1" s="1"/>
  <c r="J24" i="1"/>
  <c r="K24" i="1" s="1"/>
  <c r="F25" i="1"/>
  <c r="G25" i="1"/>
  <c r="H25" i="1" s="1"/>
  <c r="J25" i="1"/>
  <c r="K25" i="1" s="1"/>
  <c r="F26" i="1"/>
  <c r="G26" i="1"/>
  <c r="H26" i="1" s="1"/>
  <c r="J26" i="1"/>
  <c r="K26" i="1" s="1"/>
  <c r="F27" i="1"/>
  <c r="G27" i="1"/>
  <c r="H27" i="1" s="1"/>
  <c r="J27" i="1"/>
  <c r="K27" i="1" s="1"/>
  <c r="F28" i="1"/>
  <c r="G28" i="1"/>
  <c r="H28" i="1" s="1"/>
  <c r="J28" i="1"/>
  <c r="K28" i="1" s="1"/>
  <c r="F31" i="1"/>
  <c r="J23" i="1"/>
  <c r="K23" i="1" s="1"/>
  <c r="X122" i="3"/>
  <c r="Z122" i="3" s="1"/>
  <c r="X121" i="3"/>
  <c r="Z121" i="3" s="1"/>
  <c r="T121" i="3"/>
  <c r="X119" i="3"/>
  <c r="Z119" i="3" s="1"/>
  <c r="X118" i="3"/>
  <c r="Z118" i="3" s="1"/>
  <c r="X117" i="3"/>
  <c r="Z117" i="3" s="1"/>
  <c r="T117" i="3"/>
  <c r="X115" i="3"/>
  <c r="Z115" i="3" s="1"/>
  <c r="T115" i="3"/>
  <c r="X113" i="3"/>
  <c r="Z113" i="3" s="1"/>
  <c r="X112" i="3"/>
  <c r="Z112" i="3" s="1"/>
  <c r="T112" i="3"/>
  <c r="T111" i="3"/>
  <c r="T110" i="3"/>
  <c r="X108" i="3"/>
  <c r="Z108" i="3" s="1"/>
  <c r="X107" i="3"/>
  <c r="Z107" i="3" s="1"/>
  <c r="T107" i="3"/>
  <c r="T106" i="3"/>
  <c r="T63" i="3"/>
  <c r="T62" i="3"/>
  <c r="T61" i="3"/>
  <c r="T60" i="3"/>
  <c r="T59" i="3"/>
  <c r="T58" i="3"/>
  <c r="T57" i="3"/>
  <c r="T56" i="3"/>
  <c r="T55" i="3"/>
  <c r="T54" i="3"/>
  <c r="T53" i="3"/>
  <c r="T52" i="3"/>
  <c r="T51" i="3"/>
  <c r="T50" i="3"/>
  <c r="T49" i="3"/>
  <c r="T48" i="3"/>
  <c r="T47" i="3"/>
  <c r="T46" i="3"/>
  <c r="T45" i="3"/>
  <c r="T44" i="3"/>
  <c r="T43" i="3"/>
  <c r="T42" i="3"/>
  <c r="T41" i="3"/>
  <c r="T40" i="3"/>
  <c r="T39" i="3"/>
  <c r="T38" i="3"/>
  <c r="T37" i="3"/>
  <c r="T36" i="3"/>
  <c r="T35" i="3"/>
  <c r="T34" i="3"/>
  <c r="T33" i="3"/>
  <c r="T32" i="3"/>
  <c r="T31" i="3"/>
  <c r="T30" i="3"/>
  <c r="T29" i="3"/>
  <c r="T28" i="3"/>
  <c r="T27" i="3"/>
  <c r="T26" i="3"/>
  <c r="T25" i="3"/>
  <c r="T24" i="3"/>
  <c r="T23" i="3"/>
  <c r="T22" i="3"/>
  <c r="T21" i="3"/>
  <c r="T20" i="3"/>
  <c r="T19" i="3"/>
  <c r="T18" i="3"/>
  <c r="T17" i="3"/>
  <c r="T16" i="3"/>
  <c r="T15" i="3"/>
  <c r="T14" i="3"/>
  <c r="T13" i="3"/>
  <c r="T12" i="3"/>
  <c r="T11" i="3"/>
  <c r="T10" i="3"/>
  <c r="T9" i="3"/>
  <c r="T8" i="3"/>
  <c r="T7" i="3"/>
  <c r="T6" i="3"/>
  <c r="T5" i="3"/>
  <c r="O12" i="4"/>
  <c r="O8" i="4"/>
  <c r="W189" i="3"/>
  <c r="Y189" i="3" s="1"/>
  <c r="W187" i="3"/>
  <c r="Y187" i="3" s="1"/>
  <c r="W183" i="3"/>
  <c r="W181" i="3"/>
  <c r="Y181" i="3" s="1"/>
  <c r="T181" i="3"/>
  <c r="W175" i="3"/>
  <c r="Y175" i="3" s="1"/>
  <c r="W173" i="3"/>
  <c r="Y173" i="3" s="1"/>
  <c r="T173" i="3"/>
  <c r="W171" i="3"/>
  <c r="Y171" i="3" s="1"/>
  <c r="W169" i="3"/>
  <c r="Y169" i="3" s="1"/>
  <c r="T169" i="3"/>
  <c r="W167" i="3"/>
  <c r="Y167" i="3" s="1"/>
  <c r="T167" i="3"/>
  <c r="W188" i="3"/>
  <c r="Y188" i="3" s="1"/>
  <c r="W186" i="3"/>
  <c r="Y186" i="3" s="1"/>
  <c r="W184" i="3"/>
  <c r="Y184" i="3" s="1"/>
  <c r="W182" i="3"/>
  <c r="Y182" i="3" s="1"/>
  <c r="T182" i="3"/>
  <c r="W180" i="3"/>
  <c r="Y180" i="3" s="1"/>
  <c r="W172" i="3"/>
  <c r="Y172" i="3" s="1"/>
  <c r="W166" i="3"/>
  <c r="Y166" i="3" s="1"/>
  <c r="T166" i="3"/>
  <c r="W142" i="3"/>
  <c r="Y142" i="3" s="1"/>
  <c r="T142" i="3"/>
  <c r="W138" i="3"/>
  <c r="Y138" i="3" s="1"/>
  <c r="W136" i="3"/>
  <c r="Y136" i="3" s="1"/>
  <c r="T136" i="3"/>
  <c r="W143" i="3"/>
  <c r="Y143" i="3" s="1"/>
  <c r="T143" i="3"/>
  <c r="W141" i="3"/>
  <c r="Y141" i="3" s="1"/>
  <c r="T141" i="3"/>
  <c r="W139" i="3"/>
  <c r="Y139" i="3" s="1"/>
  <c r="T139" i="3"/>
  <c r="W137" i="3"/>
  <c r="Y137" i="3" s="1"/>
  <c r="T137" i="3"/>
  <c r="W135" i="3"/>
  <c r="Y135" i="3" s="1"/>
  <c r="T134" i="3"/>
  <c r="T133" i="3"/>
  <c r="T132" i="3"/>
  <c r="T131" i="3"/>
  <c r="T130" i="3"/>
  <c r="T129" i="3"/>
  <c r="T128" i="3"/>
  <c r="T127" i="3"/>
  <c r="T126" i="3"/>
  <c r="T125" i="3"/>
  <c r="T124" i="3"/>
  <c r="T123" i="3"/>
  <c r="W84" i="3"/>
  <c r="Y84" i="3" s="1"/>
  <c r="W82" i="3"/>
  <c r="T82" i="3"/>
  <c r="W80" i="3"/>
  <c r="Y80" i="3" s="1"/>
  <c r="T80" i="3"/>
  <c r="W78" i="3"/>
  <c r="Y78" i="3" s="1"/>
  <c r="T78" i="3"/>
  <c r="W76" i="3"/>
  <c r="Y76" i="3" s="1"/>
  <c r="T76" i="3"/>
  <c r="W74" i="3"/>
  <c r="Y74" i="3" s="1"/>
  <c r="T74" i="3"/>
  <c r="W83" i="3"/>
  <c r="Y83" i="3" s="1"/>
  <c r="T83" i="3"/>
  <c r="W81" i="3"/>
  <c r="Y81" i="3" s="1"/>
  <c r="T81" i="3"/>
  <c r="W79" i="3"/>
  <c r="Y79" i="3" s="1"/>
  <c r="T79" i="3"/>
  <c r="W77" i="3"/>
  <c r="Y77" i="3" s="1"/>
  <c r="T77" i="3"/>
  <c r="W75" i="3"/>
  <c r="Y75" i="3" s="1"/>
  <c r="T75" i="3"/>
  <c r="T73" i="3"/>
  <c r="T72" i="3"/>
  <c r="T71" i="3"/>
  <c r="T70" i="3"/>
  <c r="T69" i="3"/>
  <c r="T68" i="3"/>
  <c r="T67" i="3"/>
  <c r="T66" i="3"/>
  <c r="T65" i="3"/>
  <c r="T64" i="3"/>
  <c r="X189" i="3"/>
  <c r="Z189" i="3" s="1"/>
  <c r="X187" i="3"/>
  <c r="Z187" i="3" s="1"/>
  <c r="X185" i="3"/>
  <c r="Z185" i="3" s="1"/>
  <c r="X183" i="3"/>
  <c r="Z183" i="3" s="1"/>
  <c r="X181" i="3"/>
  <c r="Z181" i="3" s="1"/>
  <c r="X177" i="3"/>
  <c r="Z177" i="3" s="1"/>
  <c r="X175" i="3"/>
  <c r="Z175" i="3" s="1"/>
  <c r="X173" i="3"/>
  <c r="Z173" i="3" s="1"/>
  <c r="X171" i="3"/>
  <c r="Z171" i="3" s="1"/>
  <c r="X169" i="3"/>
  <c r="Z169" i="3" s="1"/>
  <c r="X167" i="3"/>
  <c r="Z167" i="3" s="1"/>
  <c r="W164" i="3"/>
  <c r="Y164" i="3" s="1"/>
  <c r="T164" i="3"/>
  <c r="W163" i="3"/>
  <c r="Y163" i="3" s="1"/>
  <c r="T163" i="3"/>
  <c r="W162" i="3"/>
  <c r="T162" i="3"/>
  <c r="W161" i="3"/>
  <c r="T161" i="3"/>
  <c r="W160" i="3"/>
  <c r="Y160" i="3" s="1"/>
  <c r="T160" i="3"/>
  <c r="W159" i="3"/>
  <c r="Y159" i="3" s="1"/>
  <c r="T159" i="3"/>
  <c r="W158" i="3"/>
  <c r="T158" i="3"/>
  <c r="W157" i="3"/>
  <c r="T157" i="3"/>
  <c r="W156" i="3"/>
  <c r="T156" i="3"/>
  <c r="W155" i="3"/>
  <c r="Y155" i="3" s="1"/>
  <c r="T155" i="3"/>
  <c r="X153" i="3"/>
  <c r="Z153" i="3" s="1"/>
  <c r="X151" i="3"/>
  <c r="Z151" i="3" s="1"/>
  <c r="X149" i="3"/>
  <c r="Z149" i="3" s="1"/>
  <c r="X147" i="3"/>
  <c r="Z147" i="3" s="1"/>
  <c r="X145" i="3"/>
  <c r="X133" i="3"/>
  <c r="Z133" i="3" s="1"/>
  <c r="X131" i="3"/>
  <c r="Z131" i="3" s="1"/>
  <c r="X129" i="3"/>
  <c r="Z129" i="3" s="1"/>
  <c r="X127" i="3"/>
  <c r="Z127" i="3" s="1"/>
  <c r="X125" i="3"/>
  <c r="Z125" i="3" s="1"/>
  <c r="X123" i="3"/>
  <c r="Z123" i="3" s="1"/>
  <c r="R29" i="6"/>
  <c r="X84" i="3"/>
  <c r="Z84" i="3" s="1"/>
  <c r="R38" i="6"/>
  <c r="R34" i="6"/>
  <c r="X214" i="3"/>
  <c r="Z214" i="3" s="1"/>
  <c r="X212" i="3"/>
  <c r="Z212" i="3" s="1"/>
  <c r="X210" i="3"/>
  <c r="Z210" i="3" s="1"/>
  <c r="T206" i="3"/>
  <c r="X204" i="3"/>
  <c r="Z204" i="3" s="1"/>
  <c r="T202" i="3"/>
  <c r="X201" i="3"/>
  <c r="Z201" i="3" s="1"/>
  <c r="X199" i="3"/>
  <c r="Z199" i="3" s="1"/>
  <c r="X198" i="3"/>
  <c r="Z198" i="3" s="1"/>
  <c r="T191" i="3"/>
  <c r="X172" i="3"/>
  <c r="Z172" i="3" s="1"/>
  <c r="X168" i="3"/>
  <c r="Z168" i="3" s="1"/>
  <c r="X164" i="3"/>
  <c r="Z164" i="3" s="1"/>
  <c r="X162" i="3"/>
  <c r="Z162" i="3" s="1"/>
  <c r="X160" i="3"/>
  <c r="Z160" i="3" s="1"/>
  <c r="X158" i="3"/>
  <c r="Z158" i="3" s="1"/>
  <c r="X156" i="3"/>
  <c r="Z156" i="3" s="1"/>
  <c r="X154" i="3"/>
  <c r="Z154" i="3" s="1"/>
  <c r="T101" i="3"/>
  <c r="T100" i="3"/>
  <c r="T99" i="3"/>
  <c r="T98" i="3"/>
  <c r="T97" i="3"/>
  <c r="T96" i="3"/>
  <c r="T95" i="3"/>
  <c r="T94" i="3"/>
  <c r="T93" i="3"/>
  <c r="T92" i="3"/>
  <c r="T91" i="3"/>
  <c r="T90" i="3"/>
  <c r="T89" i="3"/>
  <c r="T88" i="3"/>
  <c r="T87" i="3"/>
  <c r="T86" i="3"/>
  <c r="T85" i="3"/>
  <c r="X82" i="3"/>
  <c r="Z82" i="3" s="1"/>
  <c r="X80" i="3"/>
  <c r="Z80" i="3" s="1"/>
  <c r="X78" i="3"/>
  <c r="Z78" i="3" s="1"/>
  <c r="X76" i="3"/>
  <c r="Z76" i="3" s="1"/>
  <c r="X74" i="3"/>
  <c r="Z74" i="3" s="1"/>
  <c r="X150" i="3"/>
  <c r="Z150" i="3" s="1"/>
  <c r="X144" i="3"/>
  <c r="Z144" i="3" s="1"/>
  <c r="X143" i="3"/>
  <c r="Z143" i="3" s="1"/>
  <c r="X141" i="3"/>
  <c r="Z141" i="3" s="1"/>
  <c r="X139" i="3"/>
  <c r="Z139" i="3" s="1"/>
  <c r="X137" i="3"/>
  <c r="X135" i="3"/>
  <c r="Z135" i="3" s="1"/>
  <c r="W218" i="3"/>
  <c r="Y218" i="3" s="1"/>
  <c r="W210" i="3"/>
  <c r="Y210" i="3" s="1"/>
  <c r="W196" i="3"/>
  <c r="Y196" i="3" s="1"/>
  <c r="T194" i="3"/>
  <c r="W192" i="3"/>
  <c r="Y192" i="3" s="1"/>
  <c r="T220" i="3"/>
  <c r="X179" i="3"/>
  <c r="Z179" i="3" s="1"/>
  <c r="T170" i="3"/>
  <c r="T192" i="3"/>
  <c r="X219" i="3"/>
  <c r="Z219" i="3" s="1"/>
  <c r="X217" i="3"/>
  <c r="Z217" i="3" s="1"/>
  <c r="X213" i="3"/>
  <c r="Z213" i="3" s="1"/>
  <c r="T213" i="3"/>
  <c r="X209" i="3"/>
  <c r="Z209" i="3" s="1"/>
  <c r="X207" i="3"/>
  <c r="Z207" i="3" s="1"/>
  <c r="X203" i="3"/>
  <c r="Z203" i="3" s="1"/>
  <c r="W197" i="3"/>
  <c r="Y197" i="3" s="1"/>
  <c r="T197" i="3"/>
  <c r="X195" i="3"/>
  <c r="Z195" i="3" s="1"/>
  <c r="X191" i="3"/>
  <c r="Z191" i="3" s="1"/>
  <c r="T189" i="3"/>
  <c r="X148" i="3"/>
  <c r="T84" i="3"/>
  <c r="T221" i="3"/>
  <c r="T216" i="3"/>
  <c r="X194" i="3"/>
  <c r="Z194" i="3" s="1"/>
  <c r="W193" i="3"/>
  <c r="Y193" i="3" s="1"/>
  <c r="X190" i="3"/>
  <c r="Z190" i="3" s="1"/>
  <c r="T190" i="3"/>
  <c r="T186" i="3"/>
  <c r="X182" i="3"/>
  <c r="X178" i="3"/>
  <c r="Z178" i="3" s="1"/>
  <c r="T217" i="3"/>
  <c r="X216" i="3"/>
  <c r="Z216" i="3" s="1"/>
  <c r="W213" i="3"/>
  <c r="Y213" i="3" s="1"/>
  <c r="T210" i="3"/>
  <c r="W204" i="3"/>
  <c r="W202" i="3"/>
  <c r="Y202" i="3" s="1"/>
  <c r="T195" i="3"/>
  <c r="X192" i="3"/>
  <c r="Z192" i="3" s="1"/>
  <c r="X188" i="3"/>
  <c r="T188" i="3"/>
  <c r="X184" i="3"/>
  <c r="Z184" i="3" s="1"/>
  <c r="X180" i="3"/>
  <c r="Z180" i="3" s="1"/>
  <c r="T180" i="3"/>
  <c r="W179" i="3"/>
  <c r="Y179" i="3" s="1"/>
  <c r="T165" i="3"/>
  <c r="T178" i="3"/>
  <c r="T177" i="3"/>
  <c r="X174" i="3"/>
  <c r="X166" i="3"/>
  <c r="X163" i="3"/>
  <c r="X161" i="3"/>
  <c r="Z161" i="3" s="1"/>
  <c r="X159" i="3"/>
  <c r="X157" i="3"/>
  <c r="Z157" i="3" s="1"/>
  <c r="X155" i="3"/>
  <c r="X142" i="3"/>
  <c r="Z142" i="3" s="1"/>
  <c r="X140" i="3"/>
  <c r="Z140" i="3" s="1"/>
  <c r="W223" i="3"/>
  <c r="W219" i="3"/>
  <c r="T219" i="3"/>
  <c r="T215" i="3"/>
  <c r="T212" i="3"/>
  <c r="X211" i="3"/>
  <c r="T211" i="3"/>
  <c r="X208" i="3"/>
  <c r="Z208" i="3" s="1"/>
  <c r="T208" i="3"/>
  <c r="X205" i="3"/>
  <c r="Z205" i="3" s="1"/>
  <c r="T205" i="3"/>
  <c r="W199" i="3"/>
  <c r="Y199" i="3" s="1"/>
  <c r="T199" i="3"/>
  <c r="T198" i="3"/>
  <c r="X193" i="3"/>
  <c r="Z193" i="3" s="1"/>
  <c r="X222" i="3"/>
  <c r="Z222" i="3" s="1"/>
  <c r="X218" i="3"/>
  <c r="Z218" i="3" s="1"/>
  <c r="T218" i="3"/>
  <c r="W209" i="3"/>
  <c r="Y209" i="3" s="1"/>
  <c r="T209" i="3"/>
  <c r="W203" i="3"/>
  <c r="Y203" i="3" s="1"/>
  <c r="T203" i="3"/>
  <c r="T201" i="3"/>
  <c r="W200" i="3"/>
  <c r="Y200" i="3" s="1"/>
  <c r="X196" i="3"/>
  <c r="Z196" i="3" s="1"/>
  <c r="W194" i="3"/>
  <c r="Y194" i="3" s="1"/>
  <c r="T187" i="3"/>
  <c r="T185" i="3"/>
  <c r="X176" i="3"/>
  <c r="Z176" i="3" s="1"/>
  <c r="T175" i="3"/>
  <c r="T223" i="3"/>
  <c r="T200" i="3"/>
  <c r="T193" i="3"/>
  <c r="T176" i="3"/>
  <c r="T171" i="3"/>
  <c r="X72" i="3"/>
  <c r="Z72" i="3" s="1"/>
  <c r="X70" i="3"/>
  <c r="Z70" i="3" s="1"/>
  <c r="X68" i="3"/>
  <c r="Z68" i="3" s="1"/>
  <c r="X66" i="3"/>
  <c r="Z66" i="3" s="1"/>
  <c r="X64" i="3"/>
  <c r="Z64" i="3" s="1"/>
  <c r="X165" i="3"/>
  <c r="Z165" i="3" s="1"/>
  <c r="X83" i="3"/>
  <c r="Z83" i="3" s="1"/>
  <c r="X81" i="3"/>
  <c r="Z81" i="3" s="1"/>
  <c r="X79" i="3"/>
  <c r="Z79" i="3" s="1"/>
  <c r="X77" i="3"/>
  <c r="Z77" i="3" s="1"/>
  <c r="T222" i="3"/>
  <c r="Q13" i="8"/>
  <c r="Q14" i="8"/>
  <c r="T214" i="3"/>
  <c r="K224" i="3"/>
  <c r="D20" i="1" s="1"/>
  <c r="T102" i="3"/>
  <c r="G23" i="1"/>
  <c r="H23" i="1" s="1"/>
  <c r="J29" i="1"/>
  <c r="K29" i="1" s="1"/>
  <c r="Y40" i="8"/>
  <c r="Q41" i="8"/>
  <c r="Y41" i="8"/>
  <c r="I44" i="8"/>
  <c r="D25" i="1" s="1"/>
  <c r="I43" i="8"/>
  <c r="D24" i="1" s="1"/>
  <c r="G22" i="1"/>
  <c r="G21" i="1"/>
  <c r="H21" i="1" s="1"/>
  <c r="J22" i="1"/>
  <c r="J21" i="1"/>
  <c r="K21" i="1" s="1"/>
  <c r="Y17" i="3" l="1"/>
  <c r="B54" i="6"/>
  <c r="N3" i="6"/>
  <c r="N53" i="6" s="1"/>
  <c r="H3" i="6"/>
  <c r="H53" i="6" s="1"/>
  <c r="D27" i="1" s="1"/>
  <c r="R46" i="6"/>
  <c r="R31" i="8"/>
  <c r="S31" i="8" s="1"/>
  <c r="M32" i="8"/>
  <c r="M25" i="8"/>
  <c r="R42" i="6"/>
  <c r="H37" i="9"/>
  <c r="AA204" i="3"/>
  <c r="R40" i="6"/>
  <c r="H3" i="9"/>
  <c r="AA51" i="3"/>
  <c r="R31" i="6"/>
  <c r="R9" i="6"/>
  <c r="R19" i="6"/>
  <c r="R25" i="6"/>
  <c r="AA16" i="3"/>
  <c r="R12" i="6"/>
  <c r="R38" i="4"/>
  <c r="K16" i="4"/>
  <c r="S13" i="8"/>
  <c r="K22" i="4"/>
  <c r="AA34" i="3"/>
  <c r="R22" i="4"/>
  <c r="R20" i="6"/>
  <c r="M42" i="8"/>
  <c r="H16" i="9"/>
  <c r="H24" i="9"/>
  <c r="H32" i="9"/>
  <c r="R6" i="4"/>
  <c r="R30" i="4"/>
  <c r="M24" i="8"/>
  <c r="R21" i="6"/>
  <c r="R14" i="4"/>
  <c r="R3" i="4"/>
  <c r="R7" i="6"/>
  <c r="AA53" i="3"/>
  <c r="R41" i="8"/>
  <c r="S41" i="8" s="1"/>
  <c r="R51" i="6"/>
  <c r="AA167" i="3"/>
  <c r="AA162" i="3"/>
  <c r="AA24" i="3"/>
  <c r="H22" i="1"/>
  <c r="G31" i="1"/>
  <c r="H31" i="1" s="1"/>
  <c r="AA183" i="3"/>
  <c r="AA30" i="3"/>
  <c r="K22" i="1"/>
  <c r="J31" i="1"/>
  <c r="AA68" i="3"/>
  <c r="S12" i="8"/>
  <c r="R16" i="4"/>
  <c r="K42" i="4"/>
  <c r="K26" i="4"/>
  <c r="K10" i="4"/>
  <c r="K4" i="4"/>
  <c r="M18" i="8"/>
  <c r="S5" i="8"/>
  <c r="S35" i="8"/>
  <c r="Q224" i="3"/>
  <c r="X224" i="3" s="1"/>
  <c r="K28" i="4"/>
  <c r="AA38" i="3"/>
  <c r="M224" i="3"/>
  <c r="M36" i="8"/>
  <c r="O24" i="7"/>
  <c r="S25" i="8"/>
  <c r="S17" i="8"/>
  <c r="S9" i="8"/>
  <c r="H18" i="9"/>
  <c r="H26" i="9"/>
  <c r="R24" i="4"/>
  <c r="AA5" i="3"/>
  <c r="AA10" i="3"/>
  <c r="R11" i="6"/>
  <c r="K6" i="4"/>
  <c r="K38" i="4"/>
  <c r="K34" i="4"/>
  <c r="R18" i="4"/>
  <c r="R43" i="6"/>
  <c r="R6" i="6"/>
  <c r="K30" i="4"/>
  <c r="AA82" i="3"/>
  <c r="M33" i="8"/>
  <c r="K32" i="4"/>
  <c r="AA39" i="3"/>
  <c r="R28" i="6"/>
  <c r="O29" i="7"/>
  <c r="Q33" i="8"/>
  <c r="S33" i="8" s="1"/>
  <c r="R50" i="6"/>
  <c r="S37" i="8"/>
  <c r="Y183" i="3"/>
  <c r="R15" i="6"/>
  <c r="K12" i="4"/>
  <c r="AA157" i="3"/>
  <c r="AA161" i="3"/>
  <c r="AA22" i="3"/>
  <c r="R3" i="6"/>
  <c r="U3" i="6" s="1"/>
  <c r="M21" i="8"/>
  <c r="M13" i="8"/>
  <c r="N3" i="9"/>
  <c r="H14" i="9"/>
  <c r="N16" i="9"/>
  <c r="H22" i="9"/>
  <c r="N24" i="9"/>
  <c r="H30" i="9"/>
  <c r="S8" i="8"/>
  <c r="AA35" i="3"/>
  <c r="R5" i="4"/>
  <c r="L224" i="3"/>
  <c r="L226" i="3" s="1"/>
  <c r="F20" i="1" s="1"/>
  <c r="M8" i="8"/>
  <c r="AA219" i="3"/>
  <c r="R52" i="6"/>
  <c r="AA47" i="3"/>
  <c r="O36" i="7"/>
  <c r="M19" i="8"/>
  <c r="K14" i="4"/>
  <c r="R8" i="4"/>
  <c r="R40" i="4"/>
  <c r="R7" i="8"/>
  <c r="S7" i="8" s="1"/>
  <c r="R36" i="4"/>
  <c r="R20" i="4"/>
  <c r="AA12" i="3"/>
  <c r="N28" i="9"/>
  <c r="O26" i="4"/>
  <c r="R26" i="4" s="1"/>
  <c r="K18" i="4"/>
  <c r="AA55" i="3"/>
  <c r="AA13" i="3"/>
  <c r="S23" i="8"/>
  <c r="S15" i="8"/>
  <c r="S32" i="8"/>
  <c r="N18" i="9"/>
  <c r="N26" i="9"/>
  <c r="Q42" i="8"/>
  <c r="S42" i="8" s="1"/>
  <c r="S20" i="8"/>
  <c r="AA113" i="3"/>
  <c r="AA189" i="3"/>
  <c r="AA118" i="3"/>
  <c r="K5" i="4"/>
  <c r="K20" i="4"/>
  <c r="K36" i="4"/>
  <c r="AA60" i="3"/>
  <c r="AA83" i="3"/>
  <c r="AA15" i="3"/>
  <c r="AA103" i="3"/>
  <c r="R35" i="6"/>
  <c r="M14" i="8"/>
  <c r="K3" i="4"/>
  <c r="Q18" i="8"/>
  <c r="S18" i="8" s="1"/>
  <c r="R13" i="6"/>
  <c r="M29" i="10"/>
  <c r="M34" i="8"/>
  <c r="R48" i="6"/>
  <c r="O10" i="4"/>
  <c r="R10" i="4" s="1"/>
  <c r="O28" i="7"/>
  <c r="R12" i="4"/>
  <c r="AA217" i="3"/>
  <c r="AA17" i="3"/>
  <c r="M5" i="8"/>
  <c r="S30" i="8"/>
  <c r="AA177" i="3"/>
  <c r="R23" i="6"/>
  <c r="R32" i="6"/>
  <c r="K8" i="4"/>
  <c r="K24" i="4"/>
  <c r="K40" i="4"/>
  <c r="AA49" i="3"/>
  <c r="O34" i="4"/>
  <c r="R34" i="4" s="1"/>
  <c r="AA26" i="3"/>
  <c r="AA25" i="3"/>
  <c r="T36" i="7"/>
  <c r="M20" i="8"/>
  <c r="M12" i="8"/>
  <c r="M6" i="8"/>
  <c r="M37" i="8"/>
  <c r="M30" i="8"/>
  <c r="H41" i="9"/>
  <c r="S14" i="8"/>
  <c r="R44" i="6"/>
  <c r="S34" i="8"/>
  <c r="N20" i="9"/>
  <c r="AA151" i="3"/>
  <c r="R17" i="6"/>
  <c r="O42" i="4"/>
  <c r="R42" i="4" s="1"/>
  <c r="AA9" i="3"/>
  <c r="M35" i="8"/>
  <c r="R4" i="6"/>
  <c r="R28" i="4"/>
  <c r="AA18" i="3"/>
  <c r="Q24" i="8"/>
  <c r="S24" i="8" s="1"/>
  <c r="R32" i="4"/>
  <c r="S40" i="8"/>
  <c r="S6" i="8"/>
  <c r="M23" i="8"/>
  <c r="AA175" i="3"/>
  <c r="AA169" i="3"/>
  <c r="AA178" i="3"/>
  <c r="R27" i="6"/>
  <c r="R5" i="6"/>
  <c r="R36" i="6"/>
  <c r="AA45" i="3"/>
  <c r="O4" i="4"/>
  <c r="R4" i="4" s="1"/>
  <c r="AA6" i="3"/>
  <c r="AA31" i="3"/>
  <c r="S27" i="8"/>
  <c r="S19" i="8"/>
  <c r="S11" i="8"/>
  <c r="S36" i="8"/>
  <c r="H20" i="9"/>
  <c r="H28" i="9"/>
  <c r="Y162" i="3"/>
  <c r="Y82" i="3"/>
  <c r="Y157" i="3"/>
  <c r="Y103" i="3"/>
  <c r="AA74" i="3"/>
  <c r="Y161" i="3"/>
  <c r="AA193" i="3"/>
  <c r="AA172" i="3"/>
  <c r="AA176" i="3"/>
  <c r="AA181" i="3"/>
  <c r="AA185" i="3"/>
  <c r="X4" i="3"/>
  <c r="Z4" i="3" s="1"/>
  <c r="S4" i="3"/>
  <c r="AA216" i="3"/>
  <c r="AA199" i="3"/>
  <c r="AA95" i="3"/>
  <c r="AA111" i="3"/>
  <c r="AA210" i="3"/>
  <c r="AA215" i="3"/>
  <c r="AA119" i="3"/>
  <c r="AA108" i="3"/>
  <c r="AA122" i="3"/>
  <c r="AA110" i="3"/>
  <c r="AA106" i="3"/>
  <c r="AA171" i="3"/>
  <c r="AA59" i="3"/>
  <c r="AA99" i="3"/>
  <c r="AA72" i="3"/>
  <c r="AA64" i="3"/>
  <c r="AA211" i="3"/>
  <c r="Z211" i="3"/>
  <c r="AA184" i="3"/>
  <c r="AA155" i="3"/>
  <c r="Z155" i="3"/>
  <c r="AA159" i="3"/>
  <c r="Z159" i="3"/>
  <c r="AA163" i="3"/>
  <c r="Z163" i="3"/>
  <c r="AA174" i="3"/>
  <c r="Z174" i="3"/>
  <c r="AA182" i="3"/>
  <c r="Z182" i="3"/>
  <c r="AA148" i="3"/>
  <c r="Z148" i="3"/>
  <c r="AA137" i="3"/>
  <c r="Z137" i="3"/>
  <c r="AA145" i="3"/>
  <c r="Z145" i="3"/>
  <c r="AA166" i="3"/>
  <c r="Z166" i="3"/>
  <c r="AA188" i="3"/>
  <c r="Z188" i="3"/>
  <c r="AA170" i="3"/>
  <c r="Y56" i="3"/>
  <c r="AA56" i="3"/>
  <c r="Y101" i="3"/>
  <c r="AA101" i="3"/>
  <c r="Y97" i="3"/>
  <c r="AA97" i="3"/>
  <c r="Y93" i="3"/>
  <c r="AA93" i="3"/>
  <c r="X223" i="3"/>
  <c r="Z223" i="3" s="1"/>
  <c r="X146" i="3"/>
  <c r="Z146" i="3" s="1"/>
  <c r="X102" i="3"/>
  <c r="Z102" i="3" s="1"/>
  <c r="X98" i="3"/>
  <c r="Z98" i="3" s="1"/>
  <c r="X94" i="3"/>
  <c r="Z94" i="3" s="1"/>
  <c r="X88" i="3"/>
  <c r="Z88" i="3" s="1"/>
  <c r="R4" i="3"/>
  <c r="Y131" i="3"/>
  <c r="AA131" i="3"/>
  <c r="Y123" i="3"/>
  <c r="AA123" i="3"/>
  <c r="Y100" i="3"/>
  <c r="AA100" i="3"/>
  <c r="Y96" i="3"/>
  <c r="AA96" i="3"/>
  <c r="Y92" i="3"/>
  <c r="AA92" i="3"/>
  <c r="Y102" i="3"/>
  <c r="Y98" i="3"/>
  <c r="Y94" i="3"/>
  <c r="Y63" i="3"/>
  <c r="AA63" i="3"/>
  <c r="X67" i="3"/>
  <c r="Z67" i="3" s="1"/>
  <c r="AA125" i="3"/>
  <c r="AA133" i="3"/>
  <c r="AA156" i="3"/>
  <c r="X138" i="3"/>
  <c r="Z138" i="3" s="1"/>
  <c r="T104" i="3"/>
  <c r="X90" i="3"/>
  <c r="Z90" i="3" s="1"/>
  <c r="X86" i="3"/>
  <c r="Z86" i="3" s="1"/>
  <c r="K4" i="7"/>
  <c r="L4" i="7" s="1"/>
  <c r="Y52" i="3"/>
  <c r="AA52" i="3"/>
  <c r="Y43" i="3"/>
  <c r="AA43" i="3"/>
  <c r="Y7" i="3"/>
  <c r="AA7" i="3"/>
  <c r="Y41" i="3"/>
  <c r="AA41" i="3"/>
  <c r="AA222" i="3"/>
  <c r="AA37" i="3"/>
  <c r="AA33" i="3"/>
  <c r="AA29" i="3"/>
  <c r="AA197" i="3"/>
  <c r="AA21" i="3"/>
  <c r="M40" i="8"/>
  <c r="M9" i="8"/>
  <c r="M15" i="8"/>
  <c r="M11" i="8"/>
  <c r="M27" i="8"/>
  <c r="M17" i="8"/>
  <c r="Q21" i="8"/>
  <c r="S21" i="8" s="1"/>
  <c r="N30" i="9"/>
  <c r="N32" i="9"/>
  <c r="H34" i="9"/>
  <c r="N34" i="9"/>
  <c r="H36" i="9"/>
  <c r="AA186" i="3"/>
  <c r="AA158" i="3"/>
  <c r="Y219" i="3"/>
  <c r="AA205" i="3"/>
  <c r="AA70" i="3"/>
  <c r="AA180" i="3"/>
  <c r="AA142" i="3"/>
  <c r="AA192" i="3"/>
  <c r="AA135" i="3"/>
  <c r="Y158" i="3"/>
  <c r="AA129" i="3"/>
  <c r="X200" i="3"/>
  <c r="Z200" i="3" s="1"/>
  <c r="T184" i="3"/>
  <c r="T183" i="3"/>
  <c r="T138" i="3"/>
  <c r="X91" i="3"/>
  <c r="Z91" i="3" s="1"/>
  <c r="X89" i="3"/>
  <c r="Z89" i="3" s="1"/>
  <c r="X87" i="3"/>
  <c r="Z87" i="3" s="1"/>
  <c r="X85" i="3"/>
  <c r="Z85" i="3" s="1"/>
  <c r="Y206" i="3"/>
  <c r="AA206" i="3"/>
  <c r="Y201" i="3"/>
  <c r="AA201" i="3"/>
  <c r="Y90" i="3"/>
  <c r="Y88" i="3"/>
  <c r="Y86" i="3"/>
  <c r="AA202" i="3"/>
  <c r="Y198" i="3"/>
  <c r="AA198" i="3"/>
  <c r="Y91" i="3"/>
  <c r="Y89" i="3"/>
  <c r="Y87" i="3"/>
  <c r="Y85" i="3"/>
  <c r="AA165" i="3"/>
  <c r="AA190" i="3"/>
  <c r="Y204" i="3"/>
  <c r="AA207" i="3"/>
  <c r="AA212" i="3"/>
  <c r="AA139" i="3"/>
  <c r="AA164" i="3"/>
  <c r="AA147" i="3"/>
  <c r="AA127" i="3"/>
  <c r="AA173" i="3"/>
  <c r="Y156" i="3"/>
  <c r="AA84" i="3"/>
  <c r="T207" i="3"/>
  <c r="T204" i="3"/>
  <c r="X136" i="3"/>
  <c r="Z136" i="3" s="1"/>
  <c r="AA208" i="3"/>
  <c r="X71" i="3"/>
  <c r="Z71" i="3" s="1"/>
  <c r="S13" i="7"/>
  <c r="V13" i="7" s="1"/>
  <c r="V16" i="7"/>
  <c r="V9" i="7"/>
  <c r="S8" i="7"/>
  <c r="V8" i="7" s="1"/>
  <c r="Y223" i="3"/>
  <c r="AA203" i="3"/>
  <c r="AA194" i="3"/>
  <c r="AA66" i="3"/>
  <c r="AA77" i="3"/>
  <c r="AA209" i="3"/>
  <c r="AA213" i="3"/>
  <c r="AA179" i="3"/>
  <c r="AA191" i="3"/>
  <c r="AA76" i="3"/>
  <c r="AA141" i="3"/>
  <c r="AA50" i="3"/>
  <c r="AA40" i="3"/>
  <c r="Y40" i="3"/>
  <c r="AA36" i="3"/>
  <c r="Y36" i="3"/>
  <c r="AA32" i="3"/>
  <c r="Y32" i="3"/>
  <c r="AA28" i="3"/>
  <c r="Y28" i="3"/>
  <c r="AA20" i="3"/>
  <c r="Y20" i="3"/>
  <c r="X8" i="3"/>
  <c r="Z8" i="3" s="1"/>
  <c r="R47" i="6"/>
  <c r="R16" i="6"/>
  <c r="S4" i="8"/>
  <c r="S44" i="8" s="1"/>
  <c r="X221" i="3"/>
  <c r="Z221" i="3" s="1"/>
  <c r="AA195" i="3"/>
  <c r="T179" i="3"/>
  <c r="T174" i="3"/>
  <c r="T172" i="3"/>
  <c r="X152" i="3"/>
  <c r="Z152" i="3" s="1"/>
  <c r="T152" i="3"/>
  <c r="T151" i="3"/>
  <c r="T147" i="3"/>
  <c r="T145" i="3"/>
  <c r="X75" i="3"/>
  <c r="Z75" i="3" s="1"/>
  <c r="X73" i="3"/>
  <c r="Z73" i="3" s="1"/>
  <c r="X69" i="3"/>
  <c r="Z69" i="3" s="1"/>
  <c r="X65" i="3"/>
  <c r="Z65" i="3" s="1"/>
  <c r="AA44" i="3"/>
  <c r="AA42" i="3"/>
  <c r="X14" i="3"/>
  <c r="Z14" i="3" s="1"/>
  <c r="R39" i="6"/>
  <c r="R24" i="6"/>
  <c r="R8" i="6"/>
  <c r="N36" i="9"/>
  <c r="H38" i="9"/>
  <c r="N38" i="9"/>
  <c r="H40" i="9"/>
  <c r="N40" i="9"/>
  <c r="H42" i="9"/>
  <c r="H15" i="9"/>
  <c r="H17" i="9"/>
  <c r="H19" i="9"/>
  <c r="H21" i="9"/>
  <c r="H23" i="9"/>
  <c r="H25" i="9"/>
  <c r="H27" i="9"/>
  <c r="H29" i="9"/>
  <c r="H31" i="9"/>
  <c r="H33" i="9"/>
  <c r="H35" i="9"/>
  <c r="M4" i="8"/>
  <c r="M44" i="8" s="1"/>
  <c r="S6" i="7"/>
  <c r="V6" i="7" s="1"/>
  <c r="S7" i="7"/>
  <c r="V7" i="7" s="1"/>
  <c r="O16" i="7"/>
  <c r="S10" i="7"/>
  <c r="V10" i="7" s="1"/>
  <c r="S14" i="7"/>
  <c r="V14" i="7" s="1"/>
  <c r="S18" i="7"/>
  <c r="V18" i="7" s="1"/>
  <c r="O22" i="7"/>
  <c r="S26" i="7"/>
  <c r="V26" i="7" s="1"/>
  <c r="S30" i="7"/>
  <c r="V30" i="7" s="1"/>
  <c r="S34" i="7"/>
  <c r="V34" i="7" s="1"/>
  <c r="S38" i="7"/>
  <c r="V38" i="7" s="1"/>
  <c r="S42" i="7"/>
  <c r="O11" i="7"/>
  <c r="S15" i="7"/>
  <c r="V15" i="7" s="1"/>
  <c r="O19" i="7"/>
  <c r="S23" i="7"/>
  <c r="V23" i="7" s="1"/>
  <c r="S27" i="7"/>
  <c r="V27" i="7" s="1"/>
  <c r="S31" i="7"/>
  <c r="V31" i="7" s="1"/>
  <c r="S35" i="7"/>
  <c r="V35" i="7" s="1"/>
  <c r="S39" i="7"/>
  <c r="V39" i="7" s="1"/>
  <c r="O33" i="7"/>
  <c r="O21" i="7"/>
  <c r="O20" i="7"/>
  <c r="S29" i="7"/>
  <c r="V29" i="7" s="1"/>
  <c r="O13" i="7"/>
  <c r="O12" i="7"/>
  <c r="S24" i="7"/>
  <c r="V24" i="7" s="1"/>
  <c r="O41" i="7"/>
  <c r="O25" i="7"/>
  <c r="O17" i="7"/>
  <c r="O9" i="7"/>
  <c r="O32" i="7"/>
  <c r="O40" i="7"/>
  <c r="S36" i="7"/>
  <c r="S28" i="7"/>
  <c r="V28" i="7" s="1"/>
  <c r="V21" i="7"/>
  <c r="V17" i="7"/>
  <c r="V40" i="7"/>
  <c r="V20" i="7"/>
  <c r="V33" i="7"/>
  <c r="V32" i="7"/>
  <c r="V41" i="7"/>
  <c r="V25" i="7"/>
  <c r="V12" i="7"/>
  <c r="I43" i="7"/>
  <c r="Y4" i="3"/>
  <c r="Y4" i="8"/>
  <c r="W168" i="3"/>
  <c r="T168" i="3"/>
  <c r="W146" i="3"/>
  <c r="T146" i="3"/>
  <c r="T135" i="3"/>
  <c r="AA134" i="3"/>
  <c r="AA132" i="3"/>
  <c r="AA130" i="3"/>
  <c r="AA128" i="3"/>
  <c r="AA126" i="3"/>
  <c r="AA124" i="3"/>
  <c r="T122" i="3"/>
  <c r="AA121" i="3"/>
  <c r="X120" i="3"/>
  <c r="Z120" i="3" s="1"/>
  <c r="T120" i="3"/>
  <c r="T119" i="3"/>
  <c r="T118" i="3"/>
  <c r="AA117" i="3"/>
  <c r="X116" i="3"/>
  <c r="Z116" i="3" s="1"/>
  <c r="T116" i="3"/>
  <c r="AA115" i="3"/>
  <c r="X114" i="3"/>
  <c r="Z114" i="3" s="1"/>
  <c r="T114" i="3"/>
  <c r="T113" i="3"/>
  <c r="AA112" i="3"/>
  <c r="X109" i="3"/>
  <c r="Z109" i="3" s="1"/>
  <c r="T109" i="3"/>
  <c r="T108" i="3"/>
  <c r="AA107" i="3"/>
  <c r="X105" i="3"/>
  <c r="Z105" i="3" s="1"/>
  <c r="T105" i="3"/>
  <c r="AA104" i="3"/>
  <c r="AA62" i="3"/>
  <c r="Y62" i="3"/>
  <c r="AA57" i="3"/>
  <c r="Y57" i="3"/>
  <c r="AA54" i="3"/>
  <c r="Y54" i="3"/>
  <c r="AA23" i="3"/>
  <c r="Y23" i="3"/>
  <c r="AA11" i="3"/>
  <c r="Y11" i="3"/>
  <c r="AA81" i="3"/>
  <c r="AA196" i="3"/>
  <c r="AA79" i="3"/>
  <c r="AA218" i="3"/>
  <c r="AA214" i="3"/>
  <c r="AA78" i="3"/>
  <c r="AA187" i="3"/>
  <c r="AA160" i="3"/>
  <c r="AA80" i="3"/>
  <c r="AA143" i="3"/>
  <c r="X220" i="3"/>
  <c r="Z220" i="3" s="1"/>
  <c r="T196" i="3"/>
  <c r="W154" i="3"/>
  <c r="T154" i="3"/>
  <c r="W153" i="3"/>
  <c r="T153" i="3"/>
  <c r="W150" i="3"/>
  <c r="T150" i="3"/>
  <c r="W149" i="3"/>
  <c r="T149" i="3"/>
  <c r="T148" i="3"/>
  <c r="W144" i="3"/>
  <c r="T144" i="3"/>
  <c r="W140" i="3"/>
  <c r="T140" i="3"/>
  <c r="AA61" i="3"/>
  <c r="Y61" i="3"/>
  <c r="AA58" i="3"/>
  <c r="Y58" i="3"/>
  <c r="AA48" i="3"/>
  <c r="AA46" i="3"/>
  <c r="AA27" i="3"/>
  <c r="Y27" i="3"/>
  <c r="AA19" i="3"/>
  <c r="Y19" i="3"/>
  <c r="P41" i="4"/>
  <c r="R41" i="4" s="1"/>
  <c r="K41" i="4"/>
  <c r="P39" i="4"/>
  <c r="R39" i="4" s="1"/>
  <c r="K39" i="4"/>
  <c r="P37" i="4"/>
  <c r="R37" i="4" s="1"/>
  <c r="K37" i="4"/>
  <c r="P35" i="4"/>
  <c r="R35" i="4" s="1"/>
  <c r="K35" i="4"/>
  <c r="P33" i="4"/>
  <c r="R33" i="4" s="1"/>
  <c r="K33" i="4"/>
  <c r="P31" i="4"/>
  <c r="R31" i="4" s="1"/>
  <c r="K31" i="4"/>
  <c r="P29" i="4"/>
  <c r="R29" i="4" s="1"/>
  <c r="K29" i="4"/>
  <c r="P27" i="4"/>
  <c r="R27" i="4" s="1"/>
  <c r="K27" i="4"/>
  <c r="P25" i="4"/>
  <c r="R25" i="4" s="1"/>
  <c r="K25" i="4"/>
  <c r="P23" i="4"/>
  <c r="R23" i="4" s="1"/>
  <c r="K23" i="4"/>
  <c r="P21" i="4"/>
  <c r="R21" i="4" s="1"/>
  <c r="K21" i="4"/>
  <c r="P19" i="4"/>
  <c r="R19" i="4" s="1"/>
  <c r="K19" i="4"/>
  <c r="P17" i="4"/>
  <c r="R17" i="4" s="1"/>
  <c r="K17" i="4"/>
  <c r="P15" i="4"/>
  <c r="R15" i="4" s="1"/>
  <c r="K15" i="4"/>
  <c r="P13" i="4"/>
  <c r="R13" i="4" s="1"/>
  <c r="K13" i="4"/>
  <c r="P11" i="4"/>
  <c r="R11" i="4" s="1"/>
  <c r="K11" i="4"/>
  <c r="P9" i="4"/>
  <c r="R9" i="4" s="1"/>
  <c r="K9" i="4"/>
  <c r="P7" i="4"/>
  <c r="R7" i="4" s="1"/>
  <c r="K7" i="4"/>
  <c r="G43" i="4"/>
  <c r="D23" i="1" s="1"/>
  <c r="E23" i="1" s="1"/>
  <c r="R49" i="6"/>
  <c r="R45" i="6"/>
  <c r="R41" i="6"/>
  <c r="R37" i="6"/>
  <c r="R33" i="6"/>
  <c r="R30" i="6"/>
  <c r="R26" i="6"/>
  <c r="R22" i="6"/>
  <c r="R18" i="6"/>
  <c r="R14" i="6"/>
  <c r="R10" i="6"/>
  <c r="O37" i="7"/>
  <c r="S37" i="7"/>
  <c r="V37" i="7" s="1"/>
  <c r="Y27" i="8"/>
  <c r="Y23" i="8"/>
  <c r="Y19" i="8"/>
  <c r="Y15" i="8"/>
  <c r="Y11" i="8"/>
  <c r="Y39" i="8"/>
  <c r="J39" i="8"/>
  <c r="K39" i="8" s="1"/>
  <c r="J28" i="8"/>
  <c r="K28" i="8" s="1"/>
  <c r="Y28" i="8"/>
  <c r="T42" i="7"/>
  <c r="Y25" i="8"/>
  <c r="Y21" i="8"/>
  <c r="Y17" i="8"/>
  <c r="Y13" i="8"/>
  <c r="Y38" i="8"/>
  <c r="J38" i="8"/>
  <c r="K38" i="8" s="1"/>
  <c r="J29" i="8"/>
  <c r="K29" i="8" s="1"/>
  <c r="Y29" i="8"/>
  <c r="J26" i="8"/>
  <c r="K26" i="8" s="1"/>
  <c r="J22" i="8"/>
  <c r="K22" i="8" s="1"/>
  <c r="J16" i="8"/>
  <c r="K16" i="8" s="1"/>
  <c r="N42" i="9"/>
  <c r="Y24" i="8"/>
  <c r="Y20" i="8"/>
  <c r="Y18" i="8"/>
  <c r="Y14" i="8"/>
  <c r="Y12" i="8"/>
  <c r="H4" i="9"/>
  <c r="N4" i="9"/>
  <c r="H5" i="9"/>
  <c r="N5" i="9"/>
  <c r="H6" i="9"/>
  <c r="N6" i="9"/>
  <c r="H7" i="9"/>
  <c r="N7" i="9"/>
  <c r="H8" i="9"/>
  <c r="N8" i="9"/>
  <c r="H9" i="9"/>
  <c r="N9" i="9"/>
  <c r="H10" i="9"/>
  <c r="N10" i="9"/>
  <c r="H11" i="9"/>
  <c r="N11" i="9"/>
  <c r="H12" i="9"/>
  <c r="N12" i="9"/>
  <c r="H13" i="9"/>
  <c r="N13" i="9"/>
  <c r="N15" i="9"/>
  <c r="N17" i="9"/>
  <c r="N19" i="9"/>
  <c r="N21" i="9"/>
  <c r="N23" i="9"/>
  <c r="N25" i="9"/>
  <c r="N27" i="9"/>
  <c r="N29" i="9"/>
  <c r="N31" i="9"/>
  <c r="N33" i="9"/>
  <c r="N35" i="9"/>
  <c r="N37" i="9"/>
  <c r="N39" i="9"/>
  <c r="N41" i="9"/>
  <c r="Q10" i="8"/>
  <c r="S10" i="8" s="1"/>
  <c r="M10" i="8"/>
  <c r="Y10" i="8"/>
  <c r="Q3" i="8"/>
  <c r="S3" i="8" s="1"/>
  <c r="M3" i="8"/>
  <c r="Y3" i="8"/>
  <c r="I45" i="8"/>
  <c r="D26" i="1" s="1"/>
  <c r="Q226" i="3" l="1"/>
  <c r="X226" i="3" s="1"/>
  <c r="AA102" i="3"/>
  <c r="AA200" i="3"/>
  <c r="AA98" i="3"/>
  <c r="AA4" i="3"/>
  <c r="AA90" i="3"/>
  <c r="AA67" i="3"/>
  <c r="R43" i="4"/>
  <c r="K43" i="4"/>
  <c r="V36" i="7"/>
  <c r="AA88" i="3"/>
  <c r="AA94" i="3"/>
  <c r="AA87" i="3"/>
  <c r="AA86" i="3"/>
  <c r="AA71" i="3"/>
  <c r="AA91" i="3"/>
  <c r="S43" i="8"/>
  <c r="S45" i="8" s="1"/>
  <c r="V43" i="8"/>
  <c r="M43" i="8"/>
  <c r="M45" i="8" s="1"/>
  <c r="K43" i="8"/>
  <c r="Q43" i="8" s="1"/>
  <c r="AA223" i="3"/>
  <c r="AA85" i="3"/>
  <c r="AA89" i="3"/>
  <c r="AA138" i="3"/>
  <c r="S224" i="3"/>
  <c r="H43" i="9"/>
  <c r="AA65" i="3"/>
  <c r="AA69" i="3"/>
  <c r="AA73" i="3"/>
  <c r="AA136" i="3"/>
  <c r="AA14" i="3"/>
  <c r="AA8" i="3"/>
  <c r="AA75" i="3"/>
  <c r="AA152" i="3"/>
  <c r="AA221" i="3"/>
  <c r="J32" i="1"/>
  <c r="K32" i="1" s="1"/>
  <c r="H32" i="1"/>
  <c r="O15" i="7"/>
  <c r="O42" i="7"/>
  <c r="O35" i="7"/>
  <c r="S5" i="7"/>
  <c r="V5" i="7" s="1"/>
  <c r="O5" i="7"/>
  <c r="V42" i="7"/>
  <c r="O10" i="7"/>
  <c r="O26" i="7"/>
  <c r="S19" i="7"/>
  <c r="V19" i="7" s="1"/>
  <c r="O31" i="7"/>
  <c r="O6" i="7"/>
  <c r="O8" i="7"/>
  <c r="O27" i="7"/>
  <c r="S11" i="7"/>
  <c r="V11" i="7" s="1"/>
  <c r="O34" i="7"/>
  <c r="O18" i="7"/>
  <c r="O38" i="7"/>
  <c r="O23" i="7"/>
  <c r="O7" i="7"/>
  <c r="S22" i="7"/>
  <c r="V22" i="7" s="1"/>
  <c r="O30" i="7"/>
  <c r="O14" i="7"/>
  <c r="O39" i="7"/>
  <c r="S4" i="7"/>
  <c r="V4" i="7" s="1"/>
  <c r="O4" i="7"/>
  <c r="G32" i="1"/>
  <c r="K43" i="7"/>
  <c r="D28" i="1" s="1"/>
  <c r="K31" i="1"/>
  <c r="U53" i="6"/>
  <c r="N43" i="9"/>
  <c r="Q22" i="8"/>
  <c r="S22" i="8" s="1"/>
  <c r="M22" i="8"/>
  <c r="M38" i="8"/>
  <c r="Q38" i="8"/>
  <c r="S38" i="8" s="1"/>
  <c r="Q39" i="8"/>
  <c r="S39" i="8" s="1"/>
  <c r="M39" i="8"/>
  <c r="Y140" i="3"/>
  <c r="AA140" i="3"/>
  <c r="AA144" i="3"/>
  <c r="Y144" i="3"/>
  <c r="T224" i="3"/>
  <c r="T226" i="3" s="1"/>
  <c r="AA105" i="3"/>
  <c r="AA109" i="3"/>
  <c r="AA114" i="3"/>
  <c r="AA120" i="3"/>
  <c r="AA146" i="3"/>
  <c r="Y146" i="3"/>
  <c r="AA168" i="3"/>
  <c r="Y168" i="3"/>
  <c r="Q16" i="8"/>
  <c r="S16" i="8" s="1"/>
  <c r="M16" i="8"/>
  <c r="Q26" i="8"/>
  <c r="S26" i="8" s="1"/>
  <c r="M26" i="8"/>
  <c r="Q29" i="8"/>
  <c r="S29" i="8" s="1"/>
  <c r="M29" i="8"/>
  <c r="M28" i="8"/>
  <c r="Q28" i="8"/>
  <c r="S28" i="8" s="1"/>
  <c r="AA149" i="3"/>
  <c r="Y149" i="3"/>
  <c r="AA150" i="3"/>
  <c r="Y150" i="3"/>
  <c r="Y153" i="3"/>
  <c r="AA153" i="3"/>
  <c r="AA154" i="3"/>
  <c r="Y154" i="3"/>
  <c r="AA220" i="3"/>
  <c r="AA116" i="3"/>
  <c r="AA224" i="3" l="1"/>
  <c r="AA226" i="3" s="1"/>
  <c r="S3" i="7"/>
  <c r="V3" i="7" s="1"/>
  <c r="V43" i="7" s="1"/>
  <c r="O3" i="7"/>
  <c r="O43" i="7" s="1"/>
  <c r="Z224" i="3"/>
  <c r="E24" i="1" l="1"/>
  <c r="E26" i="1"/>
  <c r="E25" i="1" l="1"/>
  <c r="A68" i="9"/>
  <c r="A59" i="7"/>
  <c r="D1" i="7" s="1"/>
  <c r="D2" i="8"/>
  <c r="B254" i="3"/>
  <c r="C254" i="3" s="1"/>
  <c r="C255" i="3" l="1"/>
  <c r="E225" i="3"/>
  <c r="F225" i="3" s="1"/>
  <c r="F226" i="3" s="1"/>
  <c r="I1" i="7"/>
  <c r="S225" i="3" l="1"/>
  <c r="S226" i="3" s="1"/>
  <c r="G225" i="3"/>
  <c r="G226" i="3" s="1"/>
  <c r="Z225" i="3"/>
  <c r="Z226" i="3" s="1"/>
  <c r="M225" i="3"/>
  <c r="M226" i="3" s="1"/>
  <c r="K225" i="3"/>
  <c r="K226" i="3" s="1"/>
  <c r="D21" i="1" l="1"/>
  <c r="D22" i="1" l="1"/>
  <c r="E22" i="1" s="1"/>
  <c r="E28" i="1"/>
  <c r="E20" i="1"/>
  <c r="E30" i="1"/>
  <c r="E27" i="1"/>
  <c r="E21" i="1"/>
  <c r="D31" i="1" l="1"/>
  <c r="D32" i="1" s="1"/>
  <c r="E32" i="1" s="1"/>
  <c r="E31" i="1" l="1"/>
</calcChain>
</file>

<file path=xl/comments1.xml><?xml version="1.0" encoding="utf-8"?>
<comments xmlns="http://schemas.openxmlformats.org/spreadsheetml/2006/main">
  <authors>
    <author>משרד התעשייה, המסחר והתעסוקה</author>
    <author>BAKARA4</author>
    <author>tamas</author>
    <author>Julia Perlstein</author>
  </authors>
  <commentList>
    <comment ref="E4" authorId="0">
      <text>
        <r>
          <rPr>
            <b/>
            <sz val="8"/>
            <color indexed="81"/>
            <rFont val="Tahoma"/>
            <family val="2"/>
          </rPr>
          <t>נא לבחור סוג תוכנית / מסלול</t>
        </r>
      </text>
    </comment>
    <comment ref="F5" authorId="1">
      <text>
        <r>
          <rPr>
            <b/>
            <sz val="8"/>
            <color indexed="81"/>
            <rFont val="Tahoma"/>
            <family val="2"/>
          </rPr>
          <t>שדה חובה::</t>
        </r>
        <r>
          <rPr>
            <sz val="8"/>
            <color indexed="81"/>
            <rFont val="Tahoma"/>
            <family val="2"/>
          </rPr>
          <t xml:space="preserve">
DD/MM/YY</t>
        </r>
      </text>
    </comment>
    <comment ref="A8" authorId="2">
      <text>
        <r>
          <rPr>
            <b/>
            <sz val="8"/>
            <color indexed="81"/>
            <rFont val="Tahoma"/>
            <family val="2"/>
          </rPr>
          <t>חובה למלא את כל השדות תחת סעיף פרטים כלליים</t>
        </r>
      </text>
    </comment>
    <comment ref="D10" authorId="0">
      <text>
        <r>
          <rPr>
            <b/>
            <sz val="9"/>
            <color indexed="81"/>
            <rFont val="Tahoma"/>
            <family val="2"/>
          </rPr>
          <t>תאריך הקמת החברה - שדה חובה:
DD/MM/YY</t>
        </r>
      </text>
    </comment>
    <comment ref="F11" authorId="0">
      <text>
        <r>
          <rPr>
            <b/>
            <sz val="9"/>
            <color indexed="81"/>
            <rFont val="Tahoma"/>
            <family val="2"/>
          </rPr>
          <t>נכון למועד הגשת הבקשה</t>
        </r>
      </text>
    </comment>
    <comment ref="F12" authorId="0">
      <text>
        <r>
          <rPr>
            <b/>
            <sz val="9"/>
            <color indexed="81"/>
            <rFont val="Tahoma"/>
            <family val="2"/>
          </rPr>
          <t>נכון למועד הגשת הבקשה
שדה חובה</t>
        </r>
      </text>
    </comment>
    <comment ref="G130" authorId="3">
      <text>
        <r>
          <rPr>
            <b/>
            <sz val="9"/>
            <color indexed="81"/>
            <rFont val="Tahoma"/>
            <charset val="177"/>
          </rPr>
          <t>Julia Perlstein:</t>
        </r>
        <r>
          <rPr>
            <sz val="9"/>
            <color indexed="81"/>
            <rFont val="Tahoma"/>
            <charset val="177"/>
          </rPr>
          <t xml:space="preserve">
ללא תקורה</t>
        </r>
      </text>
    </comment>
    <comment ref="K130" authorId="3">
      <text>
        <r>
          <rPr>
            <b/>
            <sz val="9"/>
            <color indexed="81"/>
            <rFont val="Tahoma"/>
            <charset val="177"/>
          </rPr>
          <t>Julia Perlstein:</t>
        </r>
        <r>
          <rPr>
            <sz val="9"/>
            <color indexed="81"/>
            <rFont val="Tahoma"/>
            <charset val="177"/>
          </rPr>
          <t xml:space="preserve">
100%, לא פחת</t>
        </r>
      </text>
    </comment>
  </commentList>
</comments>
</file>

<file path=xl/comments2.xml><?xml version="1.0" encoding="utf-8"?>
<comments xmlns="http://schemas.openxmlformats.org/spreadsheetml/2006/main">
  <authors>
    <author>rany</author>
    <author>eitan.r</author>
    <author>משרד התעשייה, המסחר והתעסוקה</author>
    <author>madan</author>
  </authors>
  <commentList>
    <comment ref="F2" authorId="0">
      <text>
        <r>
          <rPr>
            <sz val="8"/>
            <color indexed="81"/>
            <rFont val="Tahoma"/>
            <family val="2"/>
          </rPr>
          <t xml:space="preserve">דוגמה למילוי חנתוני השכר:
עובד בחצי משרה שכל זמנו מוקדש לתוכנית מו"פ זו ירשם באופן הבא: 
</t>
        </r>
        <r>
          <rPr>
            <u/>
            <sz val="8"/>
            <color indexed="20"/>
            <rFont val="Tahoma"/>
            <family val="2"/>
          </rPr>
          <t>חלקיות משרה-50%</t>
        </r>
        <r>
          <rPr>
            <sz val="8"/>
            <color indexed="81"/>
            <rFont val="Tahoma"/>
            <family val="2"/>
          </rPr>
          <t xml:space="preserve">, </t>
        </r>
        <r>
          <rPr>
            <u/>
            <sz val="8"/>
            <color indexed="12"/>
            <rFont val="Tahoma"/>
            <family val="2"/>
          </rPr>
          <t>שיעור תעסוקה בתוכנית מו"פ זו - 100%</t>
        </r>
      </text>
    </comment>
    <comment ref="C3" authorId="1">
      <text>
        <r>
          <rPr>
            <sz val="8"/>
            <color indexed="81"/>
            <rFont val="Tahoma"/>
            <family val="2"/>
          </rPr>
          <t xml:space="preserve">כגון: פיזיקאי, מהנדס מכונות 
</t>
        </r>
      </text>
    </comment>
    <comment ref="E3" authorId="0">
      <text>
        <r>
          <rPr>
            <b/>
            <sz val="8"/>
            <color indexed="81"/>
            <rFont val="Tahoma"/>
            <family val="2"/>
          </rPr>
          <t>יש לבחור קוד מתאים:</t>
        </r>
        <r>
          <rPr>
            <sz val="8"/>
            <color indexed="81"/>
            <rFont val="Tahoma"/>
            <family val="2"/>
          </rPr>
          <t xml:space="preserve">
קוד 1= רגיל
קוד 2=  עובד חב' כ"א/ חליף כ"א
קוד 3= מנכ"ל
קוד 4= מנכ"ל בחברה שכל עיסוקה מו"פ.
קוד 5= איש סגל אקדמי בשנת שבתון
קוד 6= איש סגל אקדמי
קוד 7= סטודנט בעל מלגה
קוד 8 = תושב חוזר
</t>
        </r>
      </text>
    </comment>
    <comment ref="H3" authorId="2">
      <text>
        <r>
          <rPr>
            <b/>
            <sz val="8"/>
            <color indexed="81"/>
            <rFont val="Tahoma"/>
            <family val="2"/>
          </rPr>
          <t>חלק המשרה של העובד בחברה ביחס למשרה מלאה,  ללא קשר לשעור העסקתו בתוכנית</t>
        </r>
      </text>
    </comment>
    <comment ref="I3" authorId="2">
      <text>
        <r>
          <rPr>
            <b/>
            <sz val="8"/>
            <color indexed="81"/>
            <rFont val="Tahoma"/>
            <family val="2"/>
          </rPr>
          <t>היקף העסקת העובד בתוכנית ביחס לחלק המשרה שלו בחברה המהווה לצורך סעיף זה  100%</t>
        </r>
      </text>
    </comment>
    <comment ref="C231" authorId="3">
      <text>
        <r>
          <rPr>
            <b/>
            <sz val="8"/>
            <color indexed="81"/>
            <rFont val="Tahoma"/>
            <family val="2"/>
          </rPr>
          <t xml:space="preserve">כפי שנקבע בנוהל 200-03: "ניהול מערכת הכספים לצורכי מו"פ.." לשנת 2007. 
סכום זה הינו עלות כוללת למעביד בגין 100% משרה
</t>
        </r>
      </text>
    </comment>
  </commentList>
</comments>
</file>

<file path=xl/comments3.xml><?xml version="1.0" encoding="utf-8"?>
<comments xmlns="http://schemas.openxmlformats.org/spreadsheetml/2006/main">
  <authors>
    <author>eitan.r</author>
  </authors>
  <commentList>
    <comment ref="B2" authorId="0">
      <text>
        <r>
          <rPr>
            <sz val="8"/>
            <color indexed="81"/>
            <rFont val="Tahoma"/>
            <family val="2"/>
          </rPr>
          <t xml:space="preserve">תאור הפריט או הסוג , יש לציין גם יחידת המידה, לדוגמא:  דבקים (בק"ג)
</t>
        </r>
      </text>
    </comment>
  </commentList>
</comments>
</file>

<file path=xl/comments4.xml><?xml version="1.0" encoding="utf-8"?>
<comments xmlns="http://schemas.openxmlformats.org/spreadsheetml/2006/main">
  <authors>
    <author>eitan.r</author>
    <author>משרד התעשייה, המסחר והתעסוקה</author>
  </authors>
  <commentList>
    <comment ref="D2" authorId="0">
      <text>
        <r>
          <rPr>
            <sz val="8"/>
            <color indexed="81"/>
            <rFont val="Tahoma"/>
            <family val="2"/>
          </rPr>
          <t xml:space="preserve">יש לרכז קב"מ בחו"ל ביחד, בחלק העליון של הטבלה
</t>
        </r>
      </text>
    </comment>
    <comment ref="F2" authorId="1">
      <text>
        <r>
          <rPr>
            <b/>
            <sz val="8"/>
            <color indexed="81"/>
            <rFont val="Tahoma"/>
            <family val="2"/>
          </rPr>
          <t>עד תקרת שכר לשעה</t>
        </r>
      </text>
    </comment>
    <comment ref="G2" authorId="0">
      <text>
        <r>
          <rPr>
            <sz val="8"/>
            <color indexed="81"/>
            <rFont val="Tahoma"/>
            <family val="2"/>
          </rPr>
          <t>אם סוג ההתקשרות לפי שעה - יש לציין את היקף השעות, אחרת - יש לציין 1.</t>
        </r>
      </text>
    </comment>
    <comment ref="B66" authorId="0">
      <text>
        <r>
          <rPr>
            <sz val="8"/>
            <color indexed="81"/>
            <rFont val="Tahoma"/>
            <family val="2"/>
          </rPr>
          <t xml:space="preserve">יש לרכז קב"מ בחו"ל ביחד, בחלק העליון של הטבלה
</t>
        </r>
      </text>
    </comment>
    <comment ref="B67" authorId="0">
      <text>
        <r>
          <rPr>
            <sz val="8"/>
            <color indexed="81"/>
            <rFont val="Tahoma"/>
            <family val="2"/>
          </rPr>
          <t xml:space="preserve">יש לרכז קב"מ בחו"ל ביחד, בחלק העליון של הטבלה
</t>
        </r>
      </text>
    </comment>
  </commentList>
</comments>
</file>

<file path=xl/comments5.xml><?xml version="1.0" encoding="utf-8"?>
<comments xmlns="http://schemas.openxmlformats.org/spreadsheetml/2006/main">
  <authors>
    <author>משרד התעשייה, המסחר והתעסוקה</author>
  </authors>
  <commentList>
    <comment ref="D2" authorId="0">
      <text>
        <r>
          <rPr>
            <b/>
            <sz val="8"/>
            <color indexed="81"/>
            <rFont val="Tahoma"/>
            <family val="2"/>
          </rPr>
          <t xml:space="preserve">עד 5 פטנטים </t>
        </r>
      </text>
    </comment>
  </commentList>
</comments>
</file>

<file path=xl/comments6.xml><?xml version="1.0" encoding="utf-8"?>
<comments xmlns="http://schemas.openxmlformats.org/spreadsheetml/2006/main">
  <authors>
    <author>rany</author>
    <author>eitan.r</author>
  </authors>
  <commentList>
    <comment ref="D1" authorId="0">
      <text>
        <r>
          <rPr>
            <sz val="8"/>
            <color indexed="81"/>
            <rFont val="Tahoma"/>
            <family val="2"/>
          </rPr>
          <t xml:space="preserve">מחושב אוטומטית מן הנתונים שהוזנו בדף הראשי
</t>
        </r>
      </text>
    </comment>
    <comment ref="F1" authorId="0">
      <text>
        <r>
          <rPr>
            <sz val="8"/>
            <color indexed="81"/>
            <rFont val="Tahoma"/>
            <family val="2"/>
          </rPr>
          <t>כפי שהוזן בדף הראשי - פרטים כלליים וריכוז הוצאות</t>
        </r>
      </text>
    </comment>
    <comment ref="H1" authorId="0">
      <text>
        <r>
          <rPr>
            <sz val="8"/>
            <color indexed="81"/>
            <rFont val="Tahoma"/>
            <family val="2"/>
          </rPr>
          <t>כפי שהוזן בדף הראשי - פרטים כלליים וריכוז הוצאות</t>
        </r>
      </text>
    </comment>
    <comment ref="B2" authorId="1">
      <text>
        <r>
          <rPr>
            <b/>
            <sz val="8"/>
            <color indexed="81"/>
            <rFont val="Tahoma"/>
            <family val="2"/>
          </rPr>
          <t>כל פריט בשורה נפרדת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2" authorId="0">
      <text>
        <r>
          <rPr>
            <sz val="8"/>
            <color indexed="81"/>
            <rFont val="Tahoma"/>
            <family val="2"/>
          </rPr>
          <t>על מנת שהפחת יוצג יש להזין את תאריך הרכישה.</t>
        </r>
      </text>
    </comment>
  </commentList>
</comments>
</file>

<file path=xl/comments7.xml><?xml version="1.0" encoding="utf-8"?>
<comments xmlns="http://schemas.openxmlformats.org/spreadsheetml/2006/main">
  <authors>
    <author>eitan.r</author>
  </authors>
  <commentList>
    <comment ref="B2" authorId="0">
      <text>
        <r>
          <rPr>
            <sz val="8"/>
            <color indexed="81"/>
            <rFont val="Tahoma"/>
            <family val="2"/>
          </rPr>
          <t xml:space="preserve">תאור הפריט או הסוג , יש לציין גם יחידת המידה, לדוגמא:  דבקים (בק"ג)
</t>
        </r>
      </text>
    </comment>
  </commentList>
</comments>
</file>

<file path=xl/sharedStrings.xml><?xml version="1.0" encoding="utf-8"?>
<sst xmlns="http://schemas.openxmlformats.org/spreadsheetml/2006/main" count="525" uniqueCount="263">
  <si>
    <t xml:space="preserve">מס' </t>
  </si>
  <si>
    <t>סוג ההוצאה</t>
  </si>
  <si>
    <t>חומרים וציוד מתכלה</t>
  </si>
  <si>
    <t>שונות</t>
  </si>
  <si>
    <t>סה"כ</t>
  </si>
  <si>
    <t>מס' סידורי</t>
  </si>
  <si>
    <t>טלפון איש הקשר</t>
  </si>
  <si>
    <t>מיקוד</t>
  </si>
  <si>
    <t>ישוב</t>
  </si>
  <si>
    <t>מספר</t>
  </si>
  <si>
    <t xml:space="preserve"> </t>
  </si>
  <si>
    <t>שם החברה</t>
  </si>
  <si>
    <t>קוד שכר</t>
  </si>
  <si>
    <t>תיאור</t>
  </si>
  <si>
    <t>רגיל</t>
  </si>
  <si>
    <t>מס' סד'</t>
  </si>
  <si>
    <t>רבעון ראשון</t>
  </si>
  <si>
    <t>רבעון שני</t>
  </si>
  <si>
    <t>רבעון שלישי</t>
  </si>
  <si>
    <t>רבעון רביעי</t>
  </si>
  <si>
    <t>אחר</t>
  </si>
  <si>
    <t>נכון לתאריך :</t>
  </si>
  <si>
    <t>נוהל מס':</t>
  </si>
  <si>
    <t>איש סגל אקדמי</t>
  </si>
  <si>
    <t>נימוק לשינוי</t>
  </si>
  <si>
    <t>תחילת מו"פ:</t>
  </si>
  <si>
    <t>סיום מו"פ:</t>
  </si>
  <si>
    <t>כתובת החברה: רחוב</t>
  </si>
  <si>
    <t>סטודנט בעל מלגה</t>
  </si>
  <si>
    <t xml:space="preserve">ציוד ופחת </t>
  </si>
  <si>
    <t>סעיף כח אדם - שכר</t>
  </si>
  <si>
    <t>סעיף חומרים וציוד מתכלה</t>
  </si>
  <si>
    <t>תאריך:</t>
  </si>
  <si>
    <t>סעיף ציוד</t>
  </si>
  <si>
    <t>סה"כ משכורות + תקורה:</t>
  </si>
  <si>
    <t>סה"כ משכורות:</t>
  </si>
  <si>
    <t>תקורה לשכר:</t>
  </si>
  <si>
    <t>מס' חומר</t>
  </si>
  <si>
    <t>עלות הציוד</t>
  </si>
  <si>
    <t>נימוק לשינוי ולהורדות שכר</t>
  </si>
  <si>
    <t>טבלת קודי שכר (הקשה על תא זה תחזיר אותך לראשית הטבלה)</t>
  </si>
  <si>
    <t>(על החברה למלא רק את התאים הצבועים בלבן)</t>
  </si>
  <si>
    <t>פרטים כלליים</t>
  </si>
  <si>
    <t xml:space="preserve">אחוז השימוש בציוד בתיק </t>
  </si>
  <si>
    <t>נושא המחקר</t>
  </si>
  <si>
    <t>תקף מתאריך:</t>
  </si>
  <si>
    <t>E-MAIL</t>
  </si>
  <si>
    <t>טלפון חברה</t>
  </si>
  <si>
    <t>סכום מומלץ לאחר תיקון חודשי שימוש מאושרים</t>
  </si>
  <si>
    <t>מס' חודשים</t>
  </si>
  <si>
    <t>שנות אדם מבוקשות</t>
  </si>
  <si>
    <t>שכר בפועל</t>
  </si>
  <si>
    <t>תקציב מבוקש לתוכנית המו"פ</t>
  </si>
  <si>
    <t>מס' חודשי עבודה מומלצים</t>
  </si>
  <si>
    <t xml:space="preserve"> סוג החומרים (תאור הפריט או הסוג)</t>
  </si>
  <si>
    <t>המכלול בו משתלב הפריט המבוקש</t>
  </si>
  <si>
    <t>קוד עלות</t>
  </si>
  <si>
    <t>הצעת מחיר</t>
  </si>
  <si>
    <t>חוזה</t>
  </si>
  <si>
    <t>מחירון</t>
  </si>
  <si>
    <t>אמדן</t>
  </si>
  <si>
    <t>מחיר יחידה בש"ח</t>
  </si>
  <si>
    <t>כמות</t>
  </si>
  <si>
    <t xml:space="preserve">הסכום המבוקש בש"ח </t>
  </si>
  <si>
    <t>תחום עיסוק שאינו כלול בתוכנית המו"פ.</t>
  </si>
  <si>
    <t>הפחתה בגין תקצוב יתר של החברה.</t>
  </si>
  <si>
    <t>היקף מבוקש מעבר להיקף הנדרש לביצוע המשימה.</t>
  </si>
  <si>
    <t>משימה שאינה כלולה בתוכנית המומלצת.</t>
  </si>
  <si>
    <t>קוד נימוק</t>
  </si>
  <si>
    <t>בסבר לשינוי</t>
  </si>
  <si>
    <t>מחיר יחידה בש"ח מומלץ בודק</t>
  </si>
  <si>
    <t xml:space="preserve">סה"כ סכום מומלץ בש"ח </t>
  </si>
  <si>
    <t>בודק מקצועי</t>
  </si>
  <si>
    <t>לאחר קיצוץ אחיד:</t>
  </si>
  <si>
    <t>מהות העבודה (לדוגמא: תכנות, מכניקה וכו')</t>
  </si>
  <si>
    <t>שם קבלן המשנה (יש לרכז את כל הקב"מ לפי מהות העבודה)</t>
  </si>
  <si>
    <t>מס' קב"מ</t>
  </si>
  <si>
    <t>הפעילות</t>
  </si>
  <si>
    <t>תוצאות הפעילות בתכנית המו"פ</t>
  </si>
  <si>
    <t>תאור הציוד או הפריט</t>
  </si>
  <si>
    <t>פחת מבוקש לתקופת המ"פ</t>
  </si>
  <si>
    <t>פחת מצטבר בתוכניות קודמות ב-%</t>
  </si>
  <si>
    <t>שם היצרן</t>
  </si>
  <si>
    <t xml:space="preserve">מס' חודשי שימוש בתוכנית </t>
  </si>
  <si>
    <t>תקופת המחקר:</t>
  </si>
  <si>
    <t>תאריך סיום:</t>
  </si>
  <si>
    <t>תאריך התחלה:</t>
  </si>
  <si>
    <t>קבלני משנה בארץ</t>
  </si>
  <si>
    <t>קבלני משנה בחו"ל</t>
  </si>
  <si>
    <t xml:space="preserve">אחוז תעסוקה מומלץ במו"פ </t>
  </si>
  <si>
    <t>מס' חודשי מו"פ מבוקשים:</t>
  </si>
  <si>
    <t>עלות הציוד המוכרת ע"י הבודק</t>
  </si>
  <si>
    <t>אחוז שימוש המוכר ע"י הבודק</t>
  </si>
  <si>
    <t>מס' חודשי שימוש מוכרים ע"י הבודק</t>
  </si>
  <si>
    <t>שכר</t>
  </si>
  <si>
    <t>תקורה לשכר</t>
  </si>
  <si>
    <t>סה"כ מבוקש</t>
  </si>
  <si>
    <r>
      <t xml:space="preserve">ריכוז התקציב המבוקש </t>
    </r>
    <r>
      <rPr>
        <sz val="12"/>
        <rFont val="David"/>
        <family val="2"/>
        <charset val="177"/>
      </rPr>
      <t>(נקלט אוטומטית מתוך הגליונות)</t>
    </r>
  </si>
  <si>
    <t>נימוק (נא להקיש על התא)</t>
  </si>
  <si>
    <t xml:space="preserve">טבלת נימוקים </t>
  </si>
  <si>
    <t>קוד עלות (נא להקיש על התאים)</t>
  </si>
  <si>
    <t xml:space="preserve">טבלת קודי עלות </t>
  </si>
  <si>
    <t>סה"כ תיקצוב סופי</t>
  </si>
  <si>
    <t>קיצוץ אחיד</t>
  </si>
  <si>
    <t>קיצוץ אחיד תקציבאי, שיעור הקיצוץ:</t>
  </si>
  <si>
    <t>תואר מקצועי</t>
  </si>
  <si>
    <t>תפקיד במחקר</t>
  </si>
  <si>
    <t>פרטי העובד</t>
  </si>
  <si>
    <t>נתוני שכר בגין חודש ממוצע לעובד</t>
  </si>
  <si>
    <r>
      <t>קיצוץ אחיד</t>
    </r>
    <r>
      <rPr>
        <b/>
        <sz val="10"/>
        <rFont val="David"/>
        <family val="2"/>
        <charset val="177"/>
      </rPr>
      <t>- נא להזין את גובה הקיצוץ שיוכפל בשיעורי התעסוקה (בכ"א בלבד שיעור הקיצוץ מוכפל בשיעור התעסוקה, בתאים שלא בוצע בהם שינוי ידני):</t>
    </r>
  </si>
  <si>
    <t>בודק מקצועי - תקצוב ציוד ופחת</t>
  </si>
  <si>
    <t>סה"כ שכר</t>
  </si>
  <si>
    <t>סה"כ קבלני משנה</t>
  </si>
  <si>
    <t>סוגי קב"מ</t>
  </si>
  <si>
    <t>קוד</t>
  </si>
  <si>
    <t>ארץ</t>
  </si>
  <si>
    <t>קבלן משנה מחו"ל</t>
  </si>
  <si>
    <t>סה"כ קב"מ</t>
  </si>
  <si>
    <t xml:space="preserve">סעיף קבלני משנה </t>
  </si>
  <si>
    <t>סה"כ מומלץ בודק מקצועי</t>
  </si>
  <si>
    <t>ראש התחום</t>
  </si>
  <si>
    <t>שם התקציבאי</t>
  </si>
  <si>
    <t>תאריך הכנה</t>
  </si>
  <si>
    <t>תאריך ועדה</t>
  </si>
  <si>
    <t>שם בודק מקצועי</t>
  </si>
  <si>
    <t>חו”ל</t>
  </si>
  <si>
    <t>אחוז מהתקציב</t>
  </si>
  <si>
    <t>הזנת 3 השדות לעיל הינה תנאי למשיכת התקציב לשדות מטה</t>
  </si>
  <si>
    <t>מס' חודשי מחקר:</t>
  </si>
  <si>
    <t>200-02</t>
  </si>
  <si>
    <t>הערות אוטומטיות</t>
  </si>
  <si>
    <t>נימוק לשינוי באחוז תעסוקה וחודשי עבודה</t>
  </si>
  <si>
    <t>סה"כ שכר לדף תקציב</t>
  </si>
  <si>
    <t>שנות אדם לדף תקציב</t>
  </si>
  <si>
    <t>מס' חודשי עבודה לדף תקציב</t>
  </si>
  <si>
    <t xml:space="preserve">אחוז תעסוקה במו"פ לדף תקציב </t>
  </si>
  <si>
    <t>בודק מקצועי - תקצוב קבלני משנה</t>
  </si>
  <si>
    <t>בודק מקצועי - תקצוב חומרים</t>
  </si>
  <si>
    <t>בודק מקצועי - תקצוב שונות</t>
  </si>
  <si>
    <t>המלצת הבודק המקצועי - תקצוב כח אדם</t>
  </si>
  <si>
    <t>מספר חברה ברשם החברות (ח.פ.)</t>
  </si>
  <si>
    <t>גרסה:</t>
  </si>
  <si>
    <t>המלצה על קיצוץ אחיד, שיעור הקיצוץ (ה-% שתקליד יופחת מכל פריט):</t>
  </si>
  <si>
    <t>מנכ"ל</t>
  </si>
  <si>
    <t>איש סגל אקדמי בשבתון</t>
  </si>
  <si>
    <t>עובד חברת כ"א/חליף כ"א</t>
  </si>
  <si>
    <t>מנכ"ל חברת מו"פ</t>
  </si>
  <si>
    <t>תקרת שכר+סוציאליות (אין מיגבלה בהזנת הנתונים)</t>
  </si>
  <si>
    <t>תקרת אחוז התעסוקה במו"פ (ההזנה מוגבלת לתיקרות)</t>
  </si>
  <si>
    <t>המלצה על קיצוץ אחיד: שיעור הקיצוץ (ה-% שתקליד יופחת מכל פריט):</t>
  </si>
  <si>
    <t>הערות:</t>
  </si>
  <si>
    <t>2. הנוסחה לחישוב "סה"כ שכר מבוקש בהתאם לתקרות" תגביל את השכר המבוקש בהתאם לתקרות לעיל</t>
  </si>
  <si>
    <t>קוד נימוק (נא להקיש על התא)</t>
  </si>
  <si>
    <t>חלקיות משרה (לא ניתן לשינוי)</t>
  </si>
  <si>
    <t>אחוז שימוש מומלץ ע"י הבודק</t>
  </si>
  <si>
    <t>מס' חודשי שימוש מומלצים ע"י הבודק</t>
  </si>
  <si>
    <t>עלות הציוד המומלצת ע"י הבודק</t>
  </si>
  <si>
    <t>סכום מומלץ בש"ח (מחושב אוטומטית)</t>
  </si>
  <si>
    <t xml:space="preserve">1. חוקרים שחלקיות המשרה ואחוז התעסוקה שלהם במו"פ נמוכים מ-10% לא יוכרו להוצאות שכר פרט לחריג בנוהל הכספים 200-03 סעיף 3.11.6 ד' </t>
  </si>
  <si>
    <r>
      <t xml:space="preserve">שכר </t>
    </r>
    <r>
      <rPr>
        <b/>
        <u/>
        <sz val="10"/>
        <rFont val="David"/>
        <family val="2"/>
        <charset val="177"/>
      </rPr>
      <t>חודשי</t>
    </r>
    <r>
      <rPr>
        <b/>
        <sz val="10"/>
        <rFont val="David"/>
        <family val="2"/>
        <charset val="177"/>
      </rPr>
      <t xml:space="preserve"> כולל, מוגבל בתיקרות</t>
    </r>
  </si>
  <si>
    <t>סה"כ שכר כולל מבוקש בהתאם לתקרות</t>
  </si>
  <si>
    <t xml:space="preserve">שם משפחה + שם פרטי </t>
  </si>
  <si>
    <t>שכר חודשי (₪)</t>
  </si>
  <si>
    <t>עלויות סוציאליות לחודש (₪)</t>
  </si>
  <si>
    <t xml:space="preserve">חלקיות משרה (%) </t>
  </si>
  <si>
    <t>שיעור תעסוקה בתוכנית מו"פ זו (%)</t>
  </si>
  <si>
    <t>שם  המנכ"ל</t>
  </si>
  <si>
    <t>שם  מנהל המחקר</t>
  </si>
  <si>
    <t>שם  מנהל הכספים</t>
  </si>
  <si>
    <r>
      <t>קיצוץ אחיד</t>
    </r>
    <r>
      <rPr>
        <b/>
        <sz val="10"/>
        <rFont val="David"/>
        <family val="2"/>
        <charset val="177"/>
      </rPr>
      <t>- נא להזין את גובה הקיצוץ שיוכפל בשיעורי התעסוקה (בכ"א בלבד שיעור הקיצוץ מוכפל בשיעור התעסוקה המומלץ במו"פ, בתאים שלא בוצע בהם שינוי ידני):</t>
    </r>
  </si>
  <si>
    <t xml:space="preserve">סה"כ שכר מומלץ ע"י בודק </t>
  </si>
  <si>
    <t xml:space="preserve">שנות אדם מומלצות בודק </t>
  </si>
  <si>
    <t>תאריך רכישה (dd/mm/yy)</t>
  </si>
  <si>
    <t>תושב חוזר</t>
  </si>
  <si>
    <t>לא</t>
  </si>
  <si>
    <t>כן</t>
  </si>
  <si>
    <t>טכנולוגית החלל</t>
  </si>
  <si>
    <t>נבחר:</t>
  </si>
  <si>
    <t>תקציב מבוקש לתוכנית:</t>
  </si>
  <si>
    <t>תאריך הקמת החברה</t>
  </si>
  <si>
    <t>חברות מתחילות</t>
  </si>
  <si>
    <t xml:space="preserve">סך כל עובדי החברה </t>
  </si>
  <si>
    <t>מספר פטנט</t>
  </si>
  <si>
    <t>הסכום המבוקש בש"ח מוגבל בתקרות</t>
  </si>
  <si>
    <t>סעיף שונות ופטנטים</t>
  </si>
  <si>
    <t>פטנט</t>
  </si>
  <si>
    <t>פקס / טלפון נוסף</t>
  </si>
  <si>
    <t>סה"כ בארץ</t>
  </si>
  <si>
    <t>סוגי התקשרות</t>
  </si>
  <si>
    <t>מחיר קבוע</t>
  </si>
  <si>
    <t>מחיר לפי שעה</t>
  </si>
  <si>
    <t>הסכום מומלץ בודק בש"ח</t>
  </si>
  <si>
    <t xml:space="preserve">הסכום מומלץ תקצבאי בש"ח </t>
  </si>
  <si>
    <t>כמות / שעות העסקה</t>
  </si>
  <si>
    <t>פריפריה</t>
  </si>
  <si>
    <t>קבלן משנה ישראלי מחוץ לפריפריה</t>
  </si>
  <si>
    <t>קבלן משנה ישראלי בפריפריה</t>
  </si>
  <si>
    <t>סה"כ פריפריה</t>
  </si>
  <si>
    <t xml:space="preserve">מחיר יחידה בש"ח מומלץ </t>
  </si>
  <si>
    <t>בודק מקצועי - תקצוב שיווק</t>
  </si>
  <si>
    <t>שיווק</t>
  </si>
  <si>
    <t>פירוט תקציב התיק בחתך המשימות</t>
  </si>
  <si>
    <t xml:space="preserve">מס' המשימה </t>
  </si>
  <si>
    <t>תאור המשימה
 (כפי שהיא רשומה בטבלת המשימות שבבקשה)</t>
  </si>
  <si>
    <t xml:space="preserve">שונות 
</t>
  </si>
  <si>
    <t xml:space="preserve">סה"כ 
₪ </t>
  </si>
  <si>
    <t>פרוט הקבלנים המשתתפים בבביצוע המשימה</t>
  </si>
  <si>
    <t>פרוט נושאי סעיף השונות המתוקצבים במשימה</t>
  </si>
  <si>
    <t>קוד מחיר (נא להקיש על התאים)</t>
  </si>
  <si>
    <t>סוג ההתקשות (במחיר קבוע או לפי שעה)</t>
  </si>
  <si>
    <t>תוצאות הפעילות / שם מזהה לפטנט</t>
  </si>
  <si>
    <t>תקציב לפטנט בשנים הקודמות</t>
  </si>
  <si>
    <t>נא לבחור תוכנית / מסלול מהרשימה:</t>
  </si>
  <si>
    <t xml:space="preserve">מו"פ בפריפריה </t>
  </si>
  <si>
    <t>קב"מ בארץ או בחו"ל</t>
  </si>
  <si>
    <t>קב"מ בארץ או בחו"ל או בפריפריה</t>
  </si>
  <si>
    <t>הערה: תקרה של עד 50,000 ₪ לפטנט.</t>
  </si>
  <si>
    <t>ציוד ייעודי יתוקצב בסעיף שונות.  יש לרשום 55% מעלות התקציב בעמודה "מחיר יחידה" ובעמודה "כמות" לציין 1, כמו כן לציין בעמודה "תוצאות הפעילות" את העלות המלאה.</t>
  </si>
  <si>
    <t>מחיר יחידה מומלץ לפני קיצוץ אחיד</t>
  </si>
  <si>
    <t>תחליפי כוח אדם שעיקר עבודתם לא מתבצעת פיזית בחברה עצמה ,ידווחו בסעיף קבלני משנה</t>
  </si>
  <si>
    <t>קישור לרשות החדשנות</t>
  </si>
  <si>
    <t>תקציבאי רשות החדשנות</t>
  </si>
  <si>
    <t>מס' חברה ברשות החדשנות</t>
  </si>
  <si>
    <t>איש קשר לרשות החדשנות</t>
  </si>
  <si>
    <t>מופ"ת</t>
  </si>
  <si>
    <t>מסלול 37 איסרד</t>
  </si>
  <si>
    <t>תוכניות בינלאומיות</t>
  </si>
  <si>
    <t>מסלול 2 - מתקני הרצה</t>
  </si>
  <si>
    <t>כא</t>
  </si>
  <si>
    <t>חומרים</t>
  </si>
  <si>
    <t>קמ</t>
  </si>
  <si>
    <t>ציוד</t>
  </si>
  <si>
    <t>מכינת מופ"ת</t>
  </si>
  <si>
    <t>משימות</t>
  </si>
  <si>
    <r>
      <t xml:space="preserve">סעיף שיווק </t>
    </r>
    <r>
      <rPr>
        <b/>
        <sz val="14"/>
        <color rgb="FFFF0000"/>
        <rFont val="Aharoni"/>
        <charset val="177"/>
      </rPr>
      <t>עבור תוכנית: חברות מתחילות, מו"פ עבור אנשים עם מוגבלות, מופ"ת, מו"פ למגזר הציבורי</t>
    </r>
  </si>
  <si>
    <t>בודק מקצועי - תקצוב ציוד</t>
  </si>
  <si>
    <t>מס' הציוד</t>
  </si>
  <si>
    <t>תאור הפעילויות בהן נוטל חלק הציוד</t>
  </si>
  <si>
    <t>סעיף ציוד ייעודי</t>
  </si>
  <si>
    <t>ציוד ייעודי</t>
  </si>
  <si>
    <t>מסלול הטבה 35</t>
  </si>
  <si>
    <t>מעבדה לחדשנות - הפעלה</t>
  </si>
  <si>
    <t>תקורה כא</t>
  </si>
  <si>
    <t>פחת ציוד</t>
  </si>
  <si>
    <t>02/2019rot</t>
  </si>
  <si>
    <t>תקציבאי רשות החדשנות - תקצוב חומרים</t>
  </si>
  <si>
    <t>תקציבאי רשות החדשנות- תקצוב קבלני משנה</t>
  </si>
  <si>
    <t>תקציבאי רשות החדשנות - תקצוב שונות</t>
  </si>
  <si>
    <t>תקציבאי רשות החדשנות - תקצוב ציוד ופחת</t>
  </si>
  <si>
    <t>תקציבאי רשות החדשנות - תקצוב שיווק</t>
  </si>
  <si>
    <t>תקציבאי רשות החדשנות - תקצוב ציוד ייעודי</t>
  </si>
  <si>
    <t>סה"כ תיקצוב סופי - תקציבים רשות החדשנות</t>
  </si>
  <si>
    <t>עובד יצור</t>
  </si>
  <si>
    <t>סוג ההוצאה: יש לסמן "פטנט" או "אחר" או "עובד יצור"</t>
  </si>
  <si>
    <t>ממשל טק</t>
  </si>
  <si>
    <t>עזרטק</t>
  </si>
  <si>
    <t>אתגר</t>
  </si>
  <si>
    <t>קרן המו"פ</t>
  </si>
  <si>
    <t>מעבדה לחדשנות- חברת מעבדה</t>
  </si>
  <si>
    <t>מנכ"ל בחברה מתחילה/ מעבדה</t>
  </si>
  <si>
    <t>מחיר יחידה/ מחיר לשעת יצור בש"ח</t>
  </si>
  <si>
    <t xml:space="preserve">כמות/ מס' שעות יצור </t>
  </si>
  <si>
    <t>עובד רגיל מסלול ממשל-טק מתחת ל 300K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</si>
</sst>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 * #,##0_ ;_ * \-#,##0_ ;_ * &quot;-&quot;_ ;_ @_ "/>
    <numFmt numFmtId="43" formatCode="_ * #,##0.00_ ;_ * \-#,##0.00_ ;_ * &quot;-&quot;??_ ;_ @_ "/>
    <numFmt numFmtId="164" formatCode="[&lt;=9999999][$-1000000]###\-####;[$-1000000]\(###\)\ ###\-####"/>
    <numFmt numFmtId="165" formatCode="mm/yy"/>
    <numFmt numFmtId="166" formatCode="0.0%"/>
    <numFmt numFmtId="167" formatCode="#,##0.0"/>
    <numFmt numFmtId="168" formatCode="#,##0_ ;[Red]\-#,##0\ "/>
    <numFmt numFmtId="169" formatCode="#,##0.00_ ;[Red]\-#,##0.00\ "/>
    <numFmt numFmtId="170" formatCode="_ * #,##0_ ;_ * \-#,##0_ ;_ * &quot;-&quot;??_ ;_ @_ "/>
    <numFmt numFmtId="171" formatCode="#,###"/>
  </numFmts>
  <fonts count="52" x14ac:knownFonts="1">
    <font>
      <sz val="10"/>
      <name val="Arial"/>
      <charset val="177"/>
    </font>
    <font>
      <sz val="10"/>
      <name val="Arial"/>
      <family val="2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name val="David"/>
      <family val="2"/>
      <charset val="177"/>
    </font>
    <font>
      <b/>
      <sz val="12"/>
      <color indexed="8"/>
      <name val="David"/>
      <family val="2"/>
      <charset val="177"/>
    </font>
    <font>
      <sz val="8"/>
      <name val="Arial"/>
      <family val="2"/>
    </font>
    <font>
      <b/>
      <sz val="10"/>
      <name val="David"/>
      <family val="2"/>
      <charset val="177"/>
    </font>
    <font>
      <sz val="12"/>
      <name val="David"/>
      <family val="2"/>
      <charset val="177"/>
    </font>
    <font>
      <sz val="10"/>
      <name val="David"/>
      <family val="2"/>
      <charset val="177"/>
    </font>
    <font>
      <u/>
      <sz val="10"/>
      <color indexed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name val="David"/>
      <family val="2"/>
      <charset val="177"/>
    </font>
    <font>
      <sz val="10"/>
      <color indexed="8"/>
      <name val="Arial"/>
      <family val="2"/>
    </font>
    <font>
      <sz val="9"/>
      <name val="David"/>
      <family val="2"/>
      <charset val="177"/>
    </font>
    <font>
      <b/>
      <sz val="14"/>
      <name val="Aharoni"/>
      <charset val="177"/>
    </font>
    <font>
      <sz val="14"/>
      <name val="Aharoni"/>
      <charset val="177"/>
    </font>
    <font>
      <sz val="10"/>
      <name val="Aharoni"/>
      <charset val="177"/>
    </font>
    <font>
      <b/>
      <sz val="16"/>
      <name val="Aharoni"/>
      <charset val="177"/>
    </font>
    <font>
      <b/>
      <sz val="11"/>
      <name val="Aharoni"/>
      <charset val="177"/>
    </font>
    <font>
      <b/>
      <sz val="11"/>
      <name val="David"/>
      <family val="2"/>
      <charset val="177"/>
    </font>
    <font>
      <b/>
      <sz val="12"/>
      <color indexed="12"/>
      <name val="David"/>
      <family val="2"/>
      <charset val="177"/>
    </font>
    <font>
      <b/>
      <sz val="13"/>
      <name val="David"/>
      <family val="2"/>
      <charset val="177"/>
    </font>
    <font>
      <b/>
      <sz val="12"/>
      <name val="Aharoni"/>
      <charset val="177"/>
    </font>
    <font>
      <b/>
      <sz val="10"/>
      <name val="Aharoni"/>
      <charset val="177"/>
    </font>
    <font>
      <sz val="12"/>
      <name val="Aharoni"/>
      <charset val="177"/>
    </font>
    <font>
      <b/>
      <u/>
      <sz val="10"/>
      <name val="David"/>
      <family val="2"/>
      <charset val="177"/>
    </font>
    <font>
      <b/>
      <u/>
      <sz val="22"/>
      <name val="Aharoni"/>
      <charset val="177"/>
    </font>
    <font>
      <b/>
      <u/>
      <sz val="12"/>
      <name val="David"/>
      <family val="2"/>
      <charset val="177"/>
    </font>
    <font>
      <u/>
      <sz val="12"/>
      <color indexed="12"/>
      <name val="David"/>
      <family val="2"/>
      <charset val="177"/>
    </font>
    <font>
      <b/>
      <sz val="13"/>
      <color indexed="12"/>
      <name val="David"/>
      <family val="2"/>
      <charset val="177"/>
    </font>
    <font>
      <b/>
      <sz val="14"/>
      <color indexed="12"/>
      <name val="David"/>
      <family val="2"/>
      <charset val="177"/>
    </font>
    <font>
      <sz val="14"/>
      <color indexed="12"/>
      <name val="David"/>
      <family val="2"/>
      <charset val="177"/>
    </font>
    <font>
      <u/>
      <sz val="8"/>
      <color indexed="12"/>
      <name val="Tahoma"/>
      <family val="2"/>
    </font>
    <font>
      <u/>
      <sz val="8"/>
      <color indexed="20"/>
      <name val="Tahoma"/>
      <family val="2"/>
    </font>
    <font>
      <sz val="10"/>
      <color indexed="9"/>
      <name val="David"/>
      <family val="2"/>
      <charset val="177"/>
    </font>
    <font>
      <sz val="10"/>
      <name val="Arial"/>
      <family val="2"/>
    </font>
    <font>
      <b/>
      <sz val="9"/>
      <color indexed="81"/>
      <name val="Tahoma"/>
      <family val="2"/>
    </font>
    <font>
      <sz val="10"/>
      <color theme="0"/>
      <name val="David"/>
      <family val="2"/>
      <charset val="177"/>
    </font>
    <font>
      <sz val="14"/>
      <color theme="0"/>
      <name val="Aharoni"/>
      <charset val="177"/>
    </font>
    <font>
      <sz val="10"/>
      <color theme="0"/>
      <name val="Times New Roman"/>
      <family val="1"/>
    </font>
    <font>
      <b/>
      <sz val="14"/>
      <color rgb="FFFF0000"/>
      <name val="Aharoni"/>
      <charset val="177"/>
    </font>
    <font>
      <b/>
      <sz val="10"/>
      <name val="Arial"/>
      <family val="2"/>
    </font>
    <font>
      <b/>
      <u/>
      <sz val="14"/>
      <name val="Aharoni"/>
      <charset val="177"/>
    </font>
    <font>
      <b/>
      <sz val="22"/>
      <name val="Aharoni"/>
      <charset val="177"/>
    </font>
    <font>
      <sz val="11"/>
      <name val="Arial"/>
      <family val="2"/>
    </font>
    <font>
      <b/>
      <sz val="10"/>
      <color rgb="FFFF0000"/>
      <name val="Arial"/>
      <family val="2"/>
      <scheme val="minor"/>
    </font>
    <font>
      <sz val="11"/>
      <color rgb="FF1F497D"/>
      <name val="Arial"/>
      <family val="2"/>
    </font>
    <font>
      <sz val="10"/>
      <color rgb="FFFF0000"/>
      <name val="Arial"/>
      <family val="2"/>
    </font>
    <font>
      <sz val="9"/>
      <color indexed="81"/>
      <name val="Tahoma"/>
      <charset val="177"/>
    </font>
    <font>
      <b/>
      <sz val="9"/>
      <color indexed="81"/>
      <name val="Tahoma"/>
      <charset val="177"/>
    </font>
  </fonts>
  <fills count="2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9"/>
      </patternFill>
    </fill>
    <fill>
      <patternFill patternType="gray0625">
        <bgColor indexed="22"/>
      </patternFill>
    </fill>
    <fill>
      <patternFill patternType="gray0625">
        <fgColor indexed="8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9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4" fillId="0" borderId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41" fontId="1" fillId="0" borderId="0" applyFont="0" applyFill="0" applyBorder="0" applyAlignment="0" applyProtection="0"/>
  </cellStyleXfs>
  <cellXfs count="640">
    <xf numFmtId="0" fontId="0" fillId="0" borderId="0" xfId="0"/>
    <xf numFmtId="0" fontId="3" fillId="2" borderId="1" xfId="0" applyFont="1" applyFill="1" applyBorder="1" applyAlignment="1" applyProtection="1">
      <alignment horizontal="center" wrapText="1" readingOrder="2"/>
    </xf>
    <xf numFmtId="0" fontId="3" fillId="2" borderId="0" xfId="0" applyFont="1" applyFill="1" applyBorder="1" applyAlignment="1" applyProtection="1">
      <alignment horizontal="center" wrapText="1" readingOrder="2"/>
    </xf>
    <xf numFmtId="0" fontId="3" fillId="2" borderId="0" xfId="0" applyFont="1" applyFill="1" applyBorder="1" applyAlignment="1" applyProtection="1">
      <alignment horizontal="right" wrapText="1" readingOrder="2"/>
    </xf>
    <xf numFmtId="14" fontId="3" fillId="2" borderId="0" xfId="0" applyNumberFormat="1" applyFont="1" applyFill="1" applyBorder="1" applyAlignment="1" applyProtection="1">
      <alignment horizontal="center" wrapText="1" readingOrder="2"/>
    </xf>
    <xf numFmtId="0" fontId="8" fillId="2" borderId="2" xfId="0" applyFont="1" applyFill="1" applyBorder="1" applyAlignment="1" applyProtection="1">
      <alignment horizontal="center" wrapText="1" readingOrder="2"/>
    </xf>
    <xf numFmtId="0" fontId="4" fillId="2" borderId="1" xfId="0" applyFont="1" applyFill="1" applyBorder="1" applyAlignment="1" applyProtection="1">
      <alignment horizontal="right" vertical="top" wrapText="1"/>
    </xf>
    <xf numFmtId="0" fontId="4" fillId="2" borderId="0" xfId="0" applyFont="1" applyFill="1" applyBorder="1" applyAlignment="1" applyProtection="1">
      <alignment horizontal="right" vertical="top" wrapText="1"/>
    </xf>
    <xf numFmtId="164" fontId="4" fillId="2" borderId="0" xfId="0" applyNumberFormat="1" applyFont="1" applyFill="1" applyBorder="1" applyAlignment="1" applyProtection="1">
      <alignment horizontal="right" vertical="top" wrapText="1"/>
    </xf>
    <xf numFmtId="164" fontId="4" fillId="2" borderId="2" xfId="0" applyNumberFormat="1" applyFont="1" applyFill="1" applyBorder="1" applyAlignment="1" applyProtection="1">
      <alignment vertical="top" wrapText="1"/>
    </xf>
    <xf numFmtId="0" fontId="5" fillId="2" borderId="3" xfId="0" applyFont="1" applyFill="1" applyBorder="1" applyAlignment="1" applyProtection="1">
      <alignment wrapText="1" readingOrder="2"/>
    </xf>
    <xf numFmtId="0" fontId="5" fillId="2" borderId="4" xfId="0" applyFont="1" applyFill="1" applyBorder="1" applyAlignment="1" applyProtection="1">
      <alignment vertical="top" wrapText="1" readingOrder="2"/>
    </xf>
    <xf numFmtId="0" fontId="8" fillId="0" borderId="0" xfId="0" applyFont="1" applyProtection="1"/>
    <xf numFmtId="0" fontId="5" fillId="2" borderId="5" xfId="0" applyFont="1" applyFill="1" applyBorder="1" applyAlignment="1" applyProtection="1">
      <alignment vertical="top" wrapText="1" readingOrder="2"/>
    </xf>
    <xf numFmtId="0" fontId="5" fillId="2" borderId="3" xfId="0" applyFont="1" applyFill="1" applyBorder="1" applyAlignment="1" applyProtection="1">
      <alignment vertical="top" wrapText="1" readingOrder="2"/>
    </xf>
    <xf numFmtId="0" fontId="9" fillId="0" borderId="0" xfId="0" applyFont="1" applyProtection="1"/>
    <xf numFmtId="0" fontId="8" fillId="2" borderId="0" xfId="0" applyFont="1" applyFill="1" applyBorder="1" applyAlignment="1" applyProtection="1">
      <alignment horizontal="center" wrapText="1" readingOrder="2"/>
    </xf>
    <xf numFmtId="0" fontId="9" fillId="0" borderId="0" xfId="0" applyFont="1" applyFill="1" applyProtection="1"/>
    <xf numFmtId="0" fontId="9" fillId="2" borderId="1" xfId="0" applyFont="1" applyFill="1" applyBorder="1" applyProtection="1"/>
    <xf numFmtId="0" fontId="9" fillId="2" borderId="0" xfId="0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14" fontId="3" fillId="2" borderId="2" xfId="0" applyNumberFormat="1" applyFont="1" applyFill="1" applyBorder="1" applyAlignment="1" applyProtection="1">
      <alignment horizontal="center"/>
    </xf>
    <xf numFmtId="0" fontId="9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9" fillId="2" borderId="3" xfId="0" applyFont="1" applyFill="1" applyBorder="1" applyAlignment="1" applyProtection="1"/>
    <xf numFmtId="0" fontId="9" fillId="0" borderId="6" xfId="0" applyFont="1" applyBorder="1" applyProtection="1"/>
    <xf numFmtId="0" fontId="9" fillId="3" borderId="0" xfId="0" applyFont="1" applyFill="1" applyProtection="1"/>
    <xf numFmtId="165" fontId="9" fillId="3" borderId="0" xfId="0" applyNumberFormat="1" applyFont="1" applyFill="1" applyProtection="1"/>
    <xf numFmtId="165" fontId="9" fillId="0" borderId="0" xfId="0" applyNumberFormat="1" applyFont="1" applyProtection="1"/>
    <xf numFmtId="0" fontId="8" fillId="2" borderId="0" xfId="0" applyFont="1" applyFill="1" applyBorder="1" applyAlignment="1" applyProtection="1">
      <alignment horizontal="right"/>
    </xf>
    <xf numFmtId="0" fontId="9" fillId="0" borderId="0" xfId="0" applyFont="1" applyFill="1" applyBorder="1" applyProtection="1"/>
    <xf numFmtId="14" fontId="3" fillId="0" borderId="0" xfId="0" applyNumberFormat="1" applyFont="1" applyFill="1" applyBorder="1" applyAlignment="1" applyProtection="1">
      <alignment horizontal="center"/>
    </xf>
    <xf numFmtId="0" fontId="16" fillId="2" borderId="7" xfId="0" applyFont="1" applyFill="1" applyBorder="1" applyAlignment="1" applyProtection="1">
      <alignment horizontal="left" vertical="top" wrapText="1" readingOrder="2"/>
    </xf>
    <xf numFmtId="0" fontId="18" fillId="0" borderId="0" xfId="0" applyFont="1" applyProtection="1"/>
    <xf numFmtId="0" fontId="7" fillId="2" borderId="8" xfId="0" applyFont="1" applyFill="1" applyBorder="1" applyAlignment="1" applyProtection="1">
      <alignment horizontal="center" wrapText="1" readingOrder="2"/>
    </xf>
    <xf numFmtId="0" fontId="9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right"/>
    </xf>
    <xf numFmtId="0" fontId="9" fillId="0" borderId="0" xfId="0" applyFont="1" applyBorder="1" applyProtection="1"/>
    <xf numFmtId="168" fontId="9" fillId="0" borderId="0" xfId="0" applyNumberFormat="1" applyFont="1" applyProtection="1"/>
    <xf numFmtId="3" fontId="9" fillId="0" borderId="0" xfId="0" applyNumberFormat="1" applyFont="1" applyFill="1" applyProtection="1"/>
    <xf numFmtId="0" fontId="16" fillId="2" borderId="9" xfId="0" applyFont="1" applyFill="1" applyBorder="1" applyAlignment="1" applyProtection="1">
      <alignment wrapText="1"/>
    </xf>
    <xf numFmtId="0" fontId="17" fillId="0" borderId="0" xfId="0" applyFont="1" applyBorder="1" applyProtection="1"/>
    <xf numFmtId="0" fontId="7" fillId="2" borderId="10" xfId="0" applyFont="1" applyFill="1" applyBorder="1" applyAlignment="1" applyProtection="1">
      <alignment horizontal="right" vertical="top" wrapText="1" readingOrder="2"/>
    </xf>
    <xf numFmtId="0" fontId="9" fillId="4" borderId="0" xfId="0" applyFont="1" applyFill="1" applyProtection="1"/>
    <xf numFmtId="0" fontId="7" fillId="2" borderId="11" xfId="0" applyFont="1" applyFill="1" applyBorder="1" applyAlignment="1" applyProtection="1">
      <alignment horizontal="center" wrapText="1" readingOrder="2"/>
    </xf>
    <xf numFmtId="0" fontId="7" fillId="2" borderId="12" xfId="0" applyFont="1" applyFill="1" applyBorder="1" applyAlignment="1" applyProtection="1">
      <alignment horizontal="center" wrapText="1" readingOrder="2"/>
    </xf>
    <xf numFmtId="0" fontId="7" fillId="2" borderId="6" xfId="0" applyFont="1" applyFill="1" applyBorder="1" applyAlignment="1" applyProtection="1">
      <alignment horizontal="center" wrapText="1" readingOrder="2"/>
    </xf>
    <xf numFmtId="0" fontId="7" fillId="2" borderId="13" xfId="0" applyFont="1" applyFill="1" applyBorder="1" applyAlignment="1" applyProtection="1">
      <alignment horizontal="center" wrapText="1" readingOrder="2"/>
    </xf>
    <xf numFmtId="0" fontId="9" fillId="4" borderId="0" xfId="0" applyFont="1" applyFill="1" applyAlignment="1" applyProtection="1">
      <alignment horizontal="center"/>
    </xf>
    <xf numFmtId="0" fontId="7" fillId="2" borderId="10" xfId="0" applyFont="1" applyFill="1" applyBorder="1" applyAlignment="1" applyProtection="1">
      <alignment vertical="center" wrapText="1" readingOrder="2"/>
    </xf>
    <xf numFmtId="0" fontId="9" fillId="4" borderId="0" xfId="0" applyFont="1" applyFill="1" applyAlignment="1" applyProtection="1">
      <alignment vertical="center"/>
    </xf>
    <xf numFmtId="0" fontId="7" fillId="2" borderId="11" xfId="0" applyFont="1" applyFill="1" applyBorder="1" applyAlignment="1" applyProtection="1">
      <alignment vertical="center" wrapText="1" readingOrder="2"/>
    </xf>
    <xf numFmtId="0" fontId="7" fillId="2" borderId="14" xfId="0" applyFont="1" applyFill="1" applyBorder="1" applyAlignment="1" applyProtection="1">
      <alignment vertical="center" wrapText="1" readingOrder="2"/>
    </xf>
    <xf numFmtId="0" fontId="7" fillId="0" borderId="0" xfId="0" applyFont="1" applyFill="1" applyBorder="1" applyAlignment="1" applyProtection="1">
      <alignment horizontal="justify" vertical="top" wrapText="1" readingOrder="2"/>
    </xf>
    <xf numFmtId="0" fontId="9" fillId="0" borderId="0" xfId="0" applyFont="1" applyBorder="1" applyAlignment="1" applyProtection="1">
      <alignment horizontal="right"/>
    </xf>
    <xf numFmtId="0" fontId="9" fillId="5" borderId="6" xfId="0" applyFont="1" applyFill="1" applyBorder="1" applyAlignment="1" applyProtection="1">
      <alignment horizontal="center" wrapText="1"/>
    </xf>
    <xf numFmtId="0" fontId="9" fillId="5" borderId="6" xfId="0" applyFont="1" applyFill="1" applyBorder="1" applyAlignment="1" applyProtection="1">
      <alignment horizontal="center"/>
    </xf>
    <xf numFmtId="0" fontId="9" fillId="6" borderId="6" xfId="0" applyFont="1" applyFill="1" applyBorder="1" applyAlignment="1" applyProtection="1">
      <alignment horizontal="center"/>
    </xf>
    <xf numFmtId="0" fontId="9" fillId="6" borderId="6" xfId="0" applyFont="1" applyFill="1" applyBorder="1" applyAlignment="1" applyProtection="1">
      <alignment horizontal="center" wrapText="1"/>
    </xf>
    <xf numFmtId="0" fontId="3" fillId="2" borderId="6" xfId="0" applyFont="1" applyFill="1" applyBorder="1" applyAlignment="1" applyProtection="1">
      <alignment horizontal="center" wrapText="1"/>
    </xf>
    <xf numFmtId="0" fontId="9" fillId="0" borderId="0" xfId="0" applyFont="1" applyAlignment="1" applyProtection="1"/>
    <xf numFmtId="168" fontId="9" fillId="0" borderId="12" xfId="0" applyNumberFormat="1" applyFont="1" applyBorder="1" applyAlignment="1" applyProtection="1">
      <alignment horizontal="center" vertical="center" wrapText="1"/>
    </xf>
    <xf numFmtId="3" fontId="9" fillId="0" borderId="6" xfId="0" applyNumberFormat="1" applyFont="1" applyBorder="1" applyAlignment="1" applyProtection="1">
      <alignment horizontal="center" vertical="center" wrapText="1" readingOrder="2"/>
    </xf>
    <xf numFmtId="168" fontId="9" fillId="0" borderId="6" xfId="0" applyNumberFormat="1" applyFont="1" applyBorder="1" applyAlignment="1" applyProtection="1">
      <alignment horizontal="center" vertical="center" wrapText="1" readingOrder="1"/>
    </xf>
    <xf numFmtId="169" fontId="9" fillId="0" borderId="6" xfId="0" applyNumberFormat="1" applyFont="1" applyBorder="1" applyAlignment="1" applyProtection="1">
      <alignment horizontal="center" vertical="center" wrapText="1" readingOrder="1"/>
    </xf>
    <xf numFmtId="0" fontId="18" fillId="0" borderId="0" xfId="0" applyFont="1" applyAlignment="1" applyProtection="1"/>
    <xf numFmtId="0" fontId="8" fillId="2" borderId="1" xfId="0" quotePrefix="1" applyFont="1" applyFill="1" applyBorder="1" applyAlignment="1" applyProtection="1">
      <alignment horizontal="right" readingOrder="2"/>
    </xf>
    <xf numFmtId="0" fontId="7" fillId="7" borderId="8" xfId="0" applyFont="1" applyFill="1" applyBorder="1" applyAlignment="1" applyProtection="1">
      <alignment horizontal="center" wrapText="1" readingOrder="2"/>
    </xf>
    <xf numFmtId="0" fontId="16" fillId="2" borderId="7" xfId="0" applyFont="1" applyFill="1" applyBorder="1" applyAlignment="1" applyProtection="1">
      <alignment horizontal="right" vertical="top" wrapText="1" readingOrder="2"/>
    </xf>
    <xf numFmtId="0" fontId="16" fillId="2" borderId="15" xfId="0" applyFont="1" applyFill="1" applyBorder="1" applyAlignment="1" applyProtection="1">
      <alignment horizontal="left" wrapText="1"/>
    </xf>
    <xf numFmtId="0" fontId="7" fillId="2" borderId="16" xfId="0" applyFont="1" applyFill="1" applyBorder="1" applyAlignment="1" applyProtection="1">
      <alignment horizontal="center" wrapText="1" readingOrder="2"/>
    </xf>
    <xf numFmtId="3" fontId="7" fillId="7" borderId="6" xfId="0" applyNumberFormat="1" applyFont="1" applyFill="1" applyBorder="1" applyAlignment="1" applyProtection="1">
      <alignment horizontal="center" vertical="center" wrapText="1" readingOrder="2"/>
    </xf>
    <xf numFmtId="3" fontId="7" fillId="7" borderId="17" xfId="0" applyNumberFormat="1" applyFont="1" applyFill="1" applyBorder="1" applyAlignment="1" applyProtection="1">
      <alignment horizontal="center" vertical="center" wrapText="1" readingOrder="2"/>
    </xf>
    <xf numFmtId="3" fontId="7" fillId="7" borderId="18" xfId="0" applyNumberFormat="1" applyFont="1" applyFill="1" applyBorder="1" applyAlignment="1" applyProtection="1">
      <alignment horizontal="center" vertical="center" wrapText="1" readingOrder="2"/>
    </xf>
    <xf numFmtId="3" fontId="7" fillId="7" borderId="16" xfId="0" applyNumberFormat="1" applyFont="1" applyFill="1" applyBorder="1" applyAlignment="1" applyProtection="1">
      <alignment horizontal="center" vertical="center" wrapText="1" readingOrder="2"/>
    </xf>
    <xf numFmtId="3" fontId="7" fillId="7" borderId="19" xfId="0" applyNumberFormat="1" applyFont="1" applyFill="1" applyBorder="1" applyAlignment="1" applyProtection="1">
      <alignment horizontal="center" vertical="center" wrapText="1" readingOrder="2"/>
    </xf>
    <xf numFmtId="3" fontId="7" fillId="7" borderId="20" xfId="0" applyNumberFormat="1" applyFont="1" applyFill="1" applyBorder="1" applyAlignment="1" applyProtection="1">
      <alignment horizontal="center" vertical="center" wrapText="1" readingOrder="2"/>
    </xf>
    <xf numFmtId="167" fontId="7" fillId="7" borderId="21" xfId="0" applyNumberFormat="1" applyFont="1" applyFill="1" applyBorder="1" applyAlignment="1" applyProtection="1">
      <alignment horizontal="center" vertical="center" wrapText="1" readingOrder="2"/>
    </xf>
    <xf numFmtId="167" fontId="7" fillId="7" borderId="13" xfId="0" applyNumberFormat="1" applyFont="1" applyFill="1" applyBorder="1" applyAlignment="1" applyProtection="1">
      <alignment horizontal="center" vertical="center" wrapText="1" readingOrder="2"/>
    </xf>
    <xf numFmtId="167" fontId="7" fillId="7" borderId="22" xfId="0" applyNumberFormat="1" applyFont="1" applyFill="1" applyBorder="1" applyAlignment="1" applyProtection="1">
      <alignment horizontal="center" vertical="center" wrapText="1" readingOrder="2"/>
    </xf>
    <xf numFmtId="167" fontId="7" fillId="7" borderId="18" xfId="0" applyNumberFormat="1" applyFont="1" applyFill="1" applyBorder="1" applyAlignment="1" applyProtection="1">
      <alignment horizontal="center" vertical="center" wrapText="1" readingOrder="2"/>
    </xf>
    <xf numFmtId="167" fontId="7" fillId="7" borderId="6" xfId="0" applyNumberFormat="1" applyFont="1" applyFill="1" applyBorder="1" applyAlignment="1" applyProtection="1">
      <alignment horizontal="center" vertical="center" wrapText="1" readingOrder="2"/>
    </xf>
    <xf numFmtId="0" fontId="9" fillId="5" borderId="6" xfId="0" quotePrefix="1" applyFont="1" applyFill="1" applyBorder="1" applyAlignment="1" applyProtection="1">
      <alignment horizontal="center" wrapText="1"/>
    </xf>
    <xf numFmtId="0" fontId="9" fillId="6" borderId="6" xfId="0" applyFont="1" applyFill="1" applyBorder="1" applyAlignment="1" applyProtection="1">
      <alignment horizontal="right" wrapText="1" readingOrder="2"/>
    </xf>
    <xf numFmtId="0" fontId="18" fillId="3" borderId="0" xfId="0" applyFont="1" applyFill="1" applyProtection="1"/>
    <xf numFmtId="168" fontId="9" fillId="3" borderId="0" xfId="0" applyNumberFormat="1" applyFont="1" applyFill="1" applyProtection="1"/>
    <xf numFmtId="0" fontId="9" fillId="3" borderId="0" xfId="0" applyFont="1" applyFill="1" applyAlignment="1" applyProtection="1">
      <alignment vertical="center"/>
    </xf>
    <xf numFmtId="3" fontId="9" fillId="3" borderId="0" xfId="0" applyNumberFormat="1" applyFont="1" applyFill="1" applyProtection="1"/>
    <xf numFmtId="0" fontId="7" fillId="2" borderId="8" xfId="0" quotePrefix="1" applyFont="1" applyFill="1" applyBorder="1" applyAlignment="1" applyProtection="1">
      <alignment horizontal="center" wrapText="1" readingOrder="2"/>
    </xf>
    <xf numFmtId="9" fontId="9" fillId="0" borderId="6" xfId="3" applyFont="1" applyBorder="1" applyAlignment="1" applyProtection="1">
      <alignment horizontal="center" vertical="center" wrapText="1" readingOrder="1"/>
    </xf>
    <xf numFmtId="168" fontId="9" fillId="7" borderId="6" xfId="0" applyNumberFormat="1" applyFont="1" applyFill="1" applyBorder="1" applyAlignment="1" applyProtection="1">
      <alignment horizontal="center" vertical="center" wrapText="1"/>
    </xf>
    <xf numFmtId="168" fontId="9" fillId="0" borderId="6" xfId="0" applyNumberFormat="1" applyFont="1" applyFill="1" applyBorder="1" applyAlignment="1" applyProtection="1">
      <alignment horizontal="center" vertical="center" wrapText="1"/>
    </xf>
    <xf numFmtId="4" fontId="9" fillId="0" borderId="0" xfId="0" applyNumberFormat="1" applyFont="1" applyFill="1" applyBorder="1" applyProtection="1"/>
    <xf numFmtId="0" fontId="3" fillId="2" borderId="6" xfId="0" quotePrefix="1" applyFont="1" applyFill="1" applyBorder="1" applyAlignment="1" applyProtection="1">
      <alignment horizontal="center" vertical="top" wrapText="1"/>
    </xf>
    <xf numFmtId="0" fontId="3" fillId="2" borderId="8" xfId="0" applyFont="1" applyFill="1" applyBorder="1" applyAlignment="1" applyProtection="1">
      <alignment horizontal="center" wrapText="1"/>
    </xf>
    <xf numFmtId="0" fontId="3" fillId="2" borderId="23" xfId="0" applyFont="1" applyFill="1" applyBorder="1" applyAlignment="1" applyProtection="1">
      <alignment horizontal="center" wrapText="1"/>
    </xf>
    <xf numFmtId="0" fontId="3" fillId="2" borderId="0" xfId="0" quotePrefix="1" applyFont="1" applyFill="1" applyBorder="1" applyAlignment="1" applyProtection="1">
      <alignment horizontal="center" wrapText="1"/>
    </xf>
    <xf numFmtId="3" fontId="8" fillId="2" borderId="25" xfId="0" applyNumberFormat="1" applyFont="1" applyFill="1" applyBorder="1" applyAlignment="1" applyProtection="1">
      <alignment horizontal="center" vertical="center" wrapText="1" readingOrder="2"/>
    </xf>
    <xf numFmtId="0" fontId="21" fillId="8" borderId="8" xfId="0" applyFont="1" applyFill="1" applyBorder="1" applyAlignment="1" applyProtection="1">
      <alignment horizontal="center" wrapText="1" readingOrder="2"/>
    </xf>
    <xf numFmtId="0" fontId="7" fillId="2" borderId="27" xfId="0" applyFont="1" applyFill="1" applyBorder="1" applyAlignment="1" applyProtection="1">
      <alignment horizontal="center" wrapText="1" readingOrder="2"/>
    </xf>
    <xf numFmtId="4" fontId="9" fillId="7" borderId="13" xfId="0" applyNumberFormat="1" applyFont="1" applyFill="1" applyBorder="1" applyAlignment="1" applyProtection="1">
      <alignment horizontal="center" vertical="center" wrapText="1" readingOrder="2"/>
    </xf>
    <xf numFmtId="14" fontId="16" fillId="2" borderId="7" xfId="0" applyNumberFormat="1" applyFont="1" applyFill="1" applyBorder="1" applyAlignment="1" applyProtection="1">
      <alignment vertical="top" wrapText="1" readingOrder="2"/>
    </xf>
    <xf numFmtId="0" fontId="16" fillId="2" borderId="9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right"/>
    </xf>
    <xf numFmtId="3" fontId="9" fillId="0" borderId="16" xfId="0" applyNumberFormat="1" applyFont="1" applyBorder="1" applyAlignment="1" applyProtection="1">
      <alignment horizontal="center" vertical="center" wrapText="1" readingOrder="2"/>
    </xf>
    <xf numFmtId="3" fontId="9" fillId="0" borderId="13" xfId="0" applyNumberFormat="1" applyFont="1" applyBorder="1" applyAlignment="1" applyProtection="1">
      <alignment horizontal="right" vertical="center" wrapText="1" readingOrder="2"/>
    </xf>
    <xf numFmtId="3" fontId="9" fillId="7" borderId="20" xfId="0" applyNumberFormat="1" applyFont="1" applyFill="1" applyBorder="1" applyAlignment="1" applyProtection="1">
      <alignment horizontal="center" vertical="center" wrapText="1" readingOrder="2"/>
    </xf>
    <xf numFmtId="168" fontId="9" fillId="7" borderId="20" xfId="0" applyNumberFormat="1" applyFont="1" applyFill="1" applyBorder="1" applyAlignment="1" applyProtection="1">
      <alignment horizontal="center" vertical="center" wrapText="1"/>
    </xf>
    <xf numFmtId="3" fontId="7" fillId="7" borderId="22" xfId="0" applyNumberFormat="1" applyFont="1" applyFill="1" applyBorder="1" applyAlignment="1" applyProtection="1">
      <alignment horizontal="right" vertical="center" readingOrder="2"/>
    </xf>
    <xf numFmtId="0" fontId="7" fillId="9" borderId="8" xfId="0" applyFont="1" applyFill="1" applyBorder="1" applyAlignment="1" applyProtection="1">
      <alignment horizontal="center" wrapText="1" readingOrder="2"/>
    </xf>
    <xf numFmtId="168" fontId="9" fillId="9" borderId="6" xfId="0" applyNumberFormat="1" applyFont="1" applyFill="1" applyBorder="1" applyAlignment="1" applyProtection="1">
      <alignment horizontal="center" vertical="center" wrapText="1"/>
    </xf>
    <xf numFmtId="3" fontId="9" fillId="9" borderId="20" xfId="0" applyNumberFormat="1" applyFont="1" applyFill="1" applyBorder="1" applyAlignment="1" applyProtection="1">
      <alignment horizontal="center" vertical="center" wrapText="1" readingOrder="2"/>
    </xf>
    <xf numFmtId="3" fontId="9" fillId="9" borderId="19" xfId="0" applyNumberFormat="1" applyFont="1" applyFill="1" applyBorder="1" applyAlignment="1" applyProtection="1">
      <alignment horizontal="center" vertical="center" wrapText="1" readingOrder="2"/>
    </xf>
    <xf numFmtId="168" fontId="9" fillId="9" borderId="20" xfId="0" applyNumberFormat="1" applyFont="1" applyFill="1" applyBorder="1" applyAlignment="1" applyProtection="1">
      <alignment horizontal="center" vertical="center" wrapText="1"/>
    </xf>
    <xf numFmtId="3" fontId="7" fillId="9" borderId="22" xfId="0" applyNumberFormat="1" applyFont="1" applyFill="1" applyBorder="1" applyAlignment="1" applyProtection="1">
      <alignment horizontal="right" vertical="center" readingOrder="2"/>
    </xf>
    <xf numFmtId="0" fontId="7" fillId="7" borderId="23" xfId="0" applyFont="1" applyFill="1" applyBorder="1" applyAlignment="1" applyProtection="1">
      <alignment horizontal="center" wrapText="1" readingOrder="2"/>
    </xf>
    <xf numFmtId="0" fontId="7" fillId="9" borderId="23" xfId="0" applyFont="1" applyFill="1" applyBorder="1" applyAlignment="1" applyProtection="1">
      <alignment horizontal="center" wrapText="1" readingOrder="2"/>
    </xf>
    <xf numFmtId="166" fontId="16" fillId="0" borderId="28" xfId="3" applyNumberFormat="1" applyFont="1" applyFill="1" applyBorder="1" applyAlignment="1" applyProtection="1">
      <alignment horizontal="center" vertical="top" wrapText="1" readingOrder="2"/>
    </xf>
    <xf numFmtId="0" fontId="7" fillId="9" borderId="29" xfId="0" applyFont="1" applyFill="1" applyBorder="1" applyAlignment="1" applyProtection="1">
      <alignment horizontal="center" wrapText="1" readingOrder="2"/>
    </xf>
    <xf numFmtId="0" fontId="24" fillId="7" borderId="30" xfId="0" applyFont="1" applyFill="1" applyBorder="1" applyAlignment="1" applyProtection="1">
      <alignment horizontal="center" wrapText="1"/>
    </xf>
    <xf numFmtId="0" fontId="9" fillId="7" borderId="31" xfId="0" applyFont="1" applyFill="1" applyBorder="1" applyProtection="1"/>
    <xf numFmtId="0" fontId="9" fillId="7" borderId="31" xfId="0" applyFont="1" applyFill="1" applyBorder="1" applyAlignment="1" applyProtection="1">
      <alignment vertical="center"/>
    </xf>
    <xf numFmtId="0" fontId="9" fillId="7" borderId="32" xfId="0" applyFont="1" applyFill="1" applyBorder="1" applyAlignment="1" applyProtection="1">
      <alignment vertical="center"/>
    </xf>
    <xf numFmtId="0" fontId="24" fillId="9" borderId="30" xfId="0" applyFont="1" applyFill="1" applyBorder="1" applyAlignment="1" applyProtection="1">
      <alignment horizontal="center" wrapText="1"/>
    </xf>
    <xf numFmtId="0" fontId="9" fillId="9" borderId="31" xfId="0" applyFont="1" applyFill="1" applyBorder="1" applyProtection="1"/>
    <xf numFmtId="0" fontId="9" fillId="9" borderId="31" xfId="0" applyFont="1" applyFill="1" applyBorder="1" applyAlignment="1" applyProtection="1">
      <alignment vertical="center"/>
    </xf>
    <xf numFmtId="0" fontId="9" fillId="9" borderId="32" xfId="0" applyFont="1" applyFill="1" applyBorder="1" applyAlignment="1" applyProtection="1">
      <alignment vertical="center"/>
    </xf>
    <xf numFmtId="0" fontId="26" fillId="7" borderId="30" xfId="0" applyFont="1" applyFill="1" applyBorder="1" applyAlignment="1" applyProtection="1">
      <alignment horizontal="center" wrapText="1"/>
    </xf>
    <xf numFmtId="0" fontId="26" fillId="9" borderId="30" xfId="0" applyFont="1" applyFill="1" applyBorder="1" applyAlignment="1" applyProtection="1">
      <alignment horizontal="center" wrapText="1"/>
    </xf>
    <xf numFmtId="0" fontId="18" fillId="2" borderId="12" xfId="0" applyFont="1" applyFill="1" applyBorder="1" applyProtection="1"/>
    <xf numFmtId="9" fontId="15" fillId="0" borderId="16" xfId="5" applyNumberFormat="1" applyFont="1" applyBorder="1" applyAlignment="1" applyProtection="1">
      <alignment horizontal="center" vertical="center"/>
    </xf>
    <xf numFmtId="9" fontId="3" fillId="0" borderId="33" xfId="3" applyFont="1" applyFill="1" applyBorder="1" applyAlignment="1" applyProtection="1">
      <alignment horizontal="center" wrapText="1" readingOrder="2"/>
    </xf>
    <xf numFmtId="3" fontId="9" fillId="9" borderId="12" xfId="0" applyNumberFormat="1" applyFont="1" applyFill="1" applyBorder="1" applyAlignment="1" applyProtection="1">
      <alignment horizontal="center" vertical="center" wrapText="1" readingOrder="2"/>
    </xf>
    <xf numFmtId="0" fontId="7" fillId="7" borderId="8" xfId="0" quotePrefix="1" applyFont="1" applyFill="1" applyBorder="1" applyAlignment="1" applyProtection="1">
      <alignment horizontal="center" wrapText="1" readingOrder="2"/>
    </xf>
    <xf numFmtId="0" fontId="7" fillId="9" borderId="8" xfId="0" quotePrefix="1" applyFont="1" applyFill="1" applyBorder="1" applyAlignment="1" applyProtection="1">
      <alignment horizontal="center" wrapText="1" readingOrder="2"/>
    </xf>
    <xf numFmtId="0" fontId="7" fillId="7" borderId="23" xfId="0" quotePrefix="1" applyFont="1" applyFill="1" applyBorder="1" applyAlignment="1" applyProtection="1">
      <alignment horizontal="center" wrapText="1" readingOrder="2"/>
    </xf>
    <xf numFmtId="9" fontId="3" fillId="0" borderId="34" xfId="3" applyFont="1" applyFill="1" applyBorder="1" applyAlignment="1" applyProtection="1">
      <alignment horizontal="center" wrapText="1" readingOrder="2"/>
    </xf>
    <xf numFmtId="0" fontId="7" fillId="9" borderId="35" xfId="0" quotePrefix="1" applyFont="1" applyFill="1" applyBorder="1" applyAlignment="1" applyProtection="1">
      <alignment horizontal="center" wrapText="1" readingOrder="2"/>
    </xf>
    <xf numFmtId="4" fontId="9" fillId="9" borderId="27" xfId="0" applyNumberFormat="1" applyFont="1" applyFill="1" applyBorder="1" applyAlignment="1" applyProtection="1">
      <alignment horizontal="center" vertical="center" wrapText="1" readingOrder="2"/>
    </xf>
    <xf numFmtId="0" fontId="7" fillId="8" borderId="8" xfId="0" applyFont="1" applyFill="1" applyBorder="1" applyAlignment="1" applyProtection="1">
      <alignment horizontal="center" wrapText="1" readingOrder="2"/>
    </xf>
    <xf numFmtId="3" fontId="9" fillId="0" borderId="13" xfId="0" applyNumberFormat="1" applyFont="1" applyFill="1" applyBorder="1" applyAlignment="1" applyProtection="1">
      <alignment horizontal="right" vertical="center" wrapText="1" readingOrder="2"/>
    </xf>
    <xf numFmtId="3" fontId="9" fillId="7" borderId="6" xfId="1" applyNumberFormat="1" applyFont="1" applyFill="1" applyBorder="1" applyAlignment="1" applyProtection="1">
      <alignment horizontal="center" vertical="center" wrapText="1" readingOrder="2"/>
    </xf>
    <xf numFmtId="0" fontId="9" fillId="5" borderId="6" xfId="0" quotePrefix="1" applyFont="1" applyFill="1" applyBorder="1" applyAlignment="1" applyProtection="1">
      <alignment wrapText="1"/>
    </xf>
    <xf numFmtId="3" fontId="9" fillId="9" borderId="6" xfId="1" applyNumberFormat="1" applyFont="1" applyFill="1" applyBorder="1" applyAlignment="1" applyProtection="1">
      <alignment horizontal="center" vertical="center" wrapText="1" readingOrder="2"/>
    </xf>
    <xf numFmtId="0" fontId="7" fillId="8" borderId="16" xfId="0" applyFont="1" applyFill="1" applyBorder="1" applyAlignment="1" applyProtection="1">
      <alignment horizontal="center" wrapText="1" readingOrder="2"/>
    </xf>
    <xf numFmtId="0" fontId="7" fillId="9" borderId="29" xfId="0" quotePrefix="1" applyFont="1" applyFill="1" applyBorder="1" applyAlignment="1" applyProtection="1">
      <alignment horizontal="center" wrapText="1" readingOrder="2"/>
    </xf>
    <xf numFmtId="9" fontId="15" fillId="0" borderId="19" xfId="5" applyNumberFormat="1" applyFont="1" applyBorder="1" applyAlignment="1" applyProtection="1">
      <alignment horizontal="center" vertical="center"/>
    </xf>
    <xf numFmtId="168" fontId="9" fillId="0" borderId="36" xfId="0" applyNumberFormat="1" applyFont="1" applyBorder="1" applyAlignment="1" applyProtection="1">
      <alignment horizontal="center" vertical="center" wrapText="1"/>
    </xf>
    <xf numFmtId="3" fontId="9" fillId="0" borderId="20" xfId="0" applyNumberFormat="1" applyFont="1" applyBorder="1" applyAlignment="1" applyProtection="1">
      <alignment horizontal="center" vertical="center" wrapText="1" readingOrder="2"/>
    </xf>
    <xf numFmtId="0" fontId="7" fillId="7" borderId="37" xfId="0" applyFont="1" applyFill="1" applyBorder="1" applyAlignment="1" applyProtection="1">
      <alignment horizontal="center" wrapText="1" readingOrder="2"/>
    </xf>
    <xf numFmtId="9" fontId="9" fillId="0" borderId="12" xfId="3" applyFont="1" applyBorder="1" applyAlignment="1" applyProtection="1">
      <alignment horizontal="center" vertical="center" wrapText="1" readingOrder="2"/>
    </xf>
    <xf numFmtId="9" fontId="9" fillId="0" borderId="16" xfId="3" applyFont="1" applyBorder="1" applyAlignment="1" applyProtection="1">
      <alignment horizontal="center" vertical="center" wrapText="1" readingOrder="2"/>
    </xf>
    <xf numFmtId="168" fontId="9" fillId="7" borderId="20" xfId="0" applyNumberFormat="1" applyFont="1" applyFill="1" applyBorder="1" applyAlignment="1" applyProtection="1">
      <alignment horizontal="center" vertical="center" wrapText="1" readingOrder="1"/>
    </xf>
    <xf numFmtId="0" fontId="7" fillId="9" borderId="25" xfId="0" applyFont="1" applyFill="1" applyBorder="1" applyAlignment="1" applyProtection="1">
      <alignment horizontal="center" wrapText="1" readingOrder="2"/>
    </xf>
    <xf numFmtId="168" fontId="9" fillId="9" borderId="20" xfId="0" applyNumberFormat="1" applyFont="1" applyFill="1" applyBorder="1" applyAlignment="1" applyProtection="1">
      <alignment horizontal="center" vertical="center" wrapText="1" readingOrder="1"/>
    </xf>
    <xf numFmtId="0" fontId="7" fillId="7" borderId="38" xfId="0" applyFont="1" applyFill="1" applyBorder="1" applyAlignment="1" applyProtection="1">
      <alignment horizontal="center" wrapText="1" readingOrder="2"/>
    </xf>
    <xf numFmtId="3" fontId="9" fillId="0" borderId="12" xfId="0" applyNumberFormat="1" applyFont="1" applyBorder="1" applyAlignment="1" applyProtection="1">
      <alignment horizontal="center" vertical="center" wrapText="1" readingOrder="2"/>
    </xf>
    <xf numFmtId="3" fontId="9" fillId="7" borderId="36" xfId="0" applyNumberFormat="1" applyFont="1" applyFill="1" applyBorder="1" applyAlignment="1" applyProtection="1">
      <alignment horizontal="center" vertical="center" wrapText="1" readingOrder="2"/>
    </xf>
    <xf numFmtId="0" fontId="21" fillId="2" borderId="6" xfId="0" applyFont="1" applyFill="1" applyBorder="1" applyAlignment="1" applyProtection="1">
      <alignment horizontal="right" vertical="center" wrapText="1" readingOrder="2"/>
    </xf>
    <xf numFmtId="0" fontId="17" fillId="2" borderId="39" xfId="0" applyFont="1" applyFill="1" applyBorder="1" applyProtection="1"/>
    <xf numFmtId="0" fontId="13" fillId="2" borderId="8" xfId="0" applyFont="1" applyFill="1" applyBorder="1" applyAlignment="1" applyProtection="1">
      <alignment horizontal="center" wrapText="1" readingOrder="2"/>
    </xf>
    <xf numFmtId="9" fontId="7" fillId="2" borderId="8" xfId="0" applyNumberFormat="1" applyFont="1" applyFill="1" applyBorder="1" applyAlignment="1" applyProtection="1">
      <alignment horizontal="center" wrapText="1" readingOrder="2"/>
    </xf>
    <xf numFmtId="0" fontId="20" fillId="2" borderId="7" xfId="0" applyFont="1" applyFill="1" applyBorder="1" applyAlignment="1" applyProtection="1">
      <alignment horizontal="left" wrapText="1" readingOrder="2"/>
    </xf>
    <xf numFmtId="0" fontId="16" fillId="2" borderId="7" xfId="0" applyFont="1" applyFill="1" applyBorder="1" applyAlignment="1" applyProtection="1">
      <alignment horizontal="left" wrapText="1" readingOrder="2"/>
    </xf>
    <xf numFmtId="0" fontId="19" fillId="2" borderId="7" xfId="0" applyFont="1" applyFill="1" applyBorder="1" applyAlignment="1" applyProtection="1">
      <alignment horizontal="left" wrapText="1" readingOrder="1"/>
    </xf>
    <xf numFmtId="9" fontId="9" fillId="0" borderId="40" xfId="3" applyFont="1" applyBorder="1" applyAlignment="1" applyProtection="1">
      <alignment horizontal="center" vertical="center" wrapText="1" readingOrder="1"/>
    </xf>
    <xf numFmtId="168" fontId="9" fillId="0" borderId="40" xfId="0" applyNumberFormat="1" applyFont="1" applyFill="1" applyBorder="1" applyAlignment="1" applyProtection="1">
      <alignment horizontal="center" vertical="center" wrapText="1"/>
    </xf>
    <xf numFmtId="168" fontId="9" fillId="9" borderId="40" xfId="0" applyNumberFormat="1" applyFont="1" applyFill="1" applyBorder="1" applyAlignment="1" applyProtection="1">
      <alignment horizontal="center" vertical="center" wrapText="1"/>
    </xf>
    <xf numFmtId="3" fontId="9" fillId="7" borderId="6" xfId="0" applyNumberFormat="1" applyFont="1" applyFill="1" applyBorder="1" applyAlignment="1" applyProtection="1">
      <alignment horizontal="center" vertical="center" wrapText="1" readingOrder="2"/>
    </xf>
    <xf numFmtId="0" fontId="7" fillId="9" borderId="35" xfId="0" applyFont="1" applyFill="1" applyBorder="1" applyAlignment="1" applyProtection="1">
      <alignment horizontal="center" wrapText="1" readingOrder="2"/>
    </xf>
    <xf numFmtId="3" fontId="9" fillId="0" borderId="27" xfId="0" applyNumberFormat="1" applyFont="1" applyBorder="1" applyAlignment="1" applyProtection="1">
      <alignment horizontal="right" vertical="center" wrapText="1" readingOrder="2"/>
    </xf>
    <xf numFmtId="3" fontId="9" fillId="0" borderId="41" xfId="0" applyNumberFormat="1" applyFont="1" applyBorder="1" applyAlignment="1" applyProtection="1">
      <alignment horizontal="right" vertical="center" wrapText="1" readingOrder="2"/>
    </xf>
    <xf numFmtId="3" fontId="7" fillId="9" borderId="27" xfId="0" applyNumberFormat="1" applyFont="1" applyFill="1" applyBorder="1" applyAlignment="1" applyProtection="1">
      <alignment horizontal="right" vertical="center" readingOrder="2"/>
    </xf>
    <xf numFmtId="0" fontId="7" fillId="7" borderId="35" xfId="0" applyFont="1" applyFill="1" applyBorder="1" applyAlignment="1" applyProtection="1">
      <alignment horizontal="center" wrapText="1" readingOrder="2"/>
    </xf>
    <xf numFmtId="3" fontId="7" fillId="7" borderId="27" xfId="0" applyNumberFormat="1" applyFont="1" applyFill="1" applyBorder="1" applyAlignment="1" applyProtection="1">
      <alignment horizontal="right" vertical="center" readingOrder="2"/>
    </xf>
    <xf numFmtId="0" fontId="7" fillId="9" borderId="38" xfId="0" applyFont="1" applyFill="1" applyBorder="1" applyAlignment="1" applyProtection="1">
      <alignment horizontal="center" wrapText="1" readingOrder="2"/>
    </xf>
    <xf numFmtId="0" fontId="9" fillId="2" borderId="42" xfId="0" applyFont="1" applyFill="1" applyBorder="1" applyAlignment="1" applyProtection="1">
      <alignment horizontal="center" vertical="center" wrapText="1" readingOrder="2"/>
    </xf>
    <xf numFmtId="0" fontId="9" fillId="2" borderId="43" xfId="0" applyFont="1" applyFill="1" applyBorder="1" applyAlignment="1" applyProtection="1">
      <alignment horizontal="center" vertical="center" wrapText="1" readingOrder="2"/>
    </xf>
    <xf numFmtId="168" fontId="9" fillId="3" borderId="6" xfId="0" applyNumberFormat="1" applyFont="1" applyFill="1" applyBorder="1" applyAlignment="1" applyProtection="1">
      <alignment horizontal="center" vertical="center" wrapText="1" readingOrder="1"/>
    </xf>
    <xf numFmtId="0" fontId="9" fillId="3" borderId="0" xfId="0" applyFont="1" applyFill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25" fillId="7" borderId="0" xfId="0" applyFont="1" applyFill="1" applyBorder="1" applyAlignment="1" applyProtection="1">
      <alignment horizontal="center" wrapText="1"/>
    </xf>
    <xf numFmtId="0" fontId="18" fillId="9" borderId="0" xfId="0" applyFont="1" applyFill="1" applyBorder="1" applyAlignment="1" applyProtection="1">
      <alignment horizontal="center" wrapText="1"/>
    </xf>
    <xf numFmtId="0" fontId="9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/>
    <xf numFmtId="0" fontId="9" fillId="0" borderId="0" xfId="0" applyFont="1" applyBorder="1" applyAlignment="1" applyProtection="1"/>
    <xf numFmtId="1" fontId="23" fillId="0" borderId="0" xfId="0" applyNumberFormat="1" applyFont="1" applyFill="1" applyBorder="1" applyAlignment="1" applyProtection="1">
      <alignment horizontal="center" vertical="top" wrapText="1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9" fontId="23" fillId="0" borderId="0" xfId="0" applyNumberFormat="1" applyFont="1" applyFill="1" applyBorder="1" applyAlignment="1" applyProtection="1">
      <alignment horizontal="center" vertical="top" wrapText="1"/>
    </xf>
    <xf numFmtId="0" fontId="9" fillId="0" borderId="0" xfId="0" applyFont="1" applyFill="1" applyBorder="1" applyAlignment="1" applyProtection="1">
      <alignment horizontal="center" vertical="top" wrapText="1"/>
    </xf>
    <xf numFmtId="0" fontId="21" fillId="0" borderId="0" xfId="0" applyFont="1" applyFill="1" applyBorder="1" applyAlignment="1" applyProtection="1">
      <alignment horizontal="center" wrapText="1" readingOrder="2"/>
    </xf>
    <xf numFmtId="3" fontId="8" fillId="0" borderId="0" xfId="0" applyNumberFormat="1" applyFont="1" applyFill="1" applyBorder="1" applyAlignment="1" applyProtection="1">
      <alignment horizontal="center" vertical="center" wrapText="1" readingOrder="2"/>
    </xf>
    <xf numFmtId="0" fontId="9" fillId="0" borderId="0" xfId="0" applyFont="1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8" fillId="0" borderId="0" xfId="0" applyFont="1" applyBorder="1" applyProtection="1"/>
    <xf numFmtId="0" fontId="9" fillId="3" borderId="0" xfId="0" applyFont="1" applyFill="1" applyBorder="1" applyAlignment="1" applyProtection="1">
      <alignment horizontal="center"/>
    </xf>
    <xf numFmtId="0" fontId="9" fillId="3" borderId="0" xfId="0" applyFont="1" applyFill="1" applyBorder="1" applyProtection="1"/>
    <xf numFmtId="0" fontId="7" fillId="2" borderId="44" xfId="0" quotePrefix="1" applyFont="1" applyFill="1" applyBorder="1" applyAlignment="1" applyProtection="1">
      <alignment vertical="top" wrapText="1" readingOrder="2"/>
    </xf>
    <xf numFmtId="3" fontId="21" fillId="2" borderId="2" xfId="0" applyNumberFormat="1" applyFont="1" applyFill="1" applyBorder="1" applyAlignment="1" applyProtection="1">
      <alignment horizontal="right" vertical="center" wrapText="1" readingOrder="2"/>
    </xf>
    <xf numFmtId="168" fontId="9" fillId="0" borderId="45" xfId="0" applyNumberFormat="1" applyFont="1" applyBorder="1" applyAlignment="1" applyProtection="1">
      <alignment horizontal="center" vertical="center" wrapText="1"/>
    </xf>
    <xf numFmtId="9" fontId="15" fillId="0" borderId="17" xfId="5" applyNumberFormat="1" applyFont="1" applyBorder="1" applyAlignment="1" applyProtection="1">
      <alignment horizontal="center" vertical="center"/>
    </xf>
    <xf numFmtId="168" fontId="9" fillId="0" borderId="24" xfId="0" applyNumberFormat="1" applyFont="1" applyBorder="1" applyAlignment="1" applyProtection="1">
      <alignment horizontal="center" vertical="center" wrapText="1"/>
    </xf>
    <xf numFmtId="3" fontId="9" fillId="0" borderId="18" xfId="0" applyNumberFormat="1" applyFont="1" applyBorder="1" applyAlignment="1" applyProtection="1">
      <alignment horizontal="center" vertical="center" wrapText="1" readingOrder="2"/>
    </xf>
    <xf numFmtId="3" fontId="7" fillId="9" borderId="18" xfId="0" applyNumberFormat="1" applyFont="1" applyFill="1" applyBorder="1" applyAlignment="1" applyProtection="1">
      <alignment horizontal="center" vertical="center" wrapText="1" readingOrder="2"/>
    </xf>
    <xf numFmtId="167" fontId="7" fillId="9" borderId="21" xfId="0" applyNumberFormat="1" applyFont="1" applyFill="1" applyBorder="1" applyAlignment="1" applyProtection="1">
      <alignment horizontal="center" vertical="center" wrapText="1" readingOrder="2"/>
    </xf>
    <xf numFmtId="167" fontId="7" fillId="9" borderId="13" xfId="0" applyNumberFormat="1" applyFont="1" applyFill="1" applyBorder="1" applyAlignment="1" applyProtection="1">
      <alignment horizontal="center" vertical="center" wrapText="1" readingOrder="2"/>
    </xf>
    <xf numFmtId="3" fontId="7" fillId="9" borderId="20" xfId="0" applyNumberFormat="1" applyFont="1" applyFill="1" applyBorder="1" applyAlignment="1" applyProtection="1">
      <alignment horizontal="center" vertical="center" wrapText="1" readingOrder="2"/>
    </xf>
    <xf numFmtId="167" fontId="7" fillId="9" borderId="22" xfId="0" applyNumberFormat="1" applyFont="1" applyFill="1" applyBorder="1" applyAlignment="1" applyProtection="1">
      <alignment horizontal="center" vertical="center" wrapText="1" readingOrder="2"/>
    </xf>
    <xf numFmtId="3" fontId="9" fillId="7" borderId="6" xfId="0" applyNumberFormat="1" applyFont="1" applyFill="1" applyBorder="1" applyAlignment="1" applyProtection="1">
      <alignment horizontal="center"/>
    </xf>
    <xf numFmtId="3" fontId="7" fillId="7" borderId="6" xfId="0" applyNumberFormat="1" applyFont="1" applyFill="1" applyBorder="1" applyAlignment="1" applyProtection="1">
      <alignment horizontal="center" wrapText="1" readingOrder="2"/>
    </xf>
    <xf numFmtId="3" fontId="7" fillId="9" borderId="6" xfId="0" applyNumberFormat="1" applyFont="1" applyFill="1" applyBorder="1" applyAlignment="1" applyProtection="1">
      <alignment horizontal="center" wrapText="1" readingOrder="2"/>
    </xf>
    <xf numFmtId="3" fontId="9" fillId="9" borderId="6" xfId="0" applyNumberFormat="1" applyFont="1" applyFill="1" applyBorder="1" applyAlignment="1" applyProtection="1">
      <alignment horizontal="center"/>
    </xf>
    <xf numFmtId="0" fontId="3" fillId="2" borderId="27" xfId="0" applyFont="1" applyFill="1" applyBorder="1" applyAlignment="1" applyProtection="1">
      <alignment horizontal="center" wrapText="1"/>
    </xf>
    <xf numFmtId="3" fontId="8" fillId="2" borderId="1" xfId="0" applyNumberFormat="1" applyFont="1" applyFill="1" applyBorder="1" applyAlignment="1" applyProtection="1">
      <alignment horizontal="center" vertical="center" wrapText="1" readingOrder="2"/>
    </xf>
    <xf numFmtId="0" fontId="21" fillId="2" borderId="12" xfId="0" applyFont="1" applyFill="1" applyBorder="1" applyAlignment="1" applyProtection="1">
      <alignment horizontal="right" vertical="center" wrapText="1" readingOrder="2"/>
    </xf>
    <xf numFmtId="0" fontId="21" fillId="8" borderId="37" xfId="0" applyFont="1" applyFill="1" applyBorder="1" applyAlignment="1" applyProtection="1">
      <alignment horizontal="center" wrapText="1" readingOrder="2"/>
    </xf>
    <xf numFmtId="0" fontId="21" fillId="8" borderId="38" xfId="0" applyFont="1" applyFill="1" applyBorder="1" applyAlignment="1" applyProtection="1">
      <alignment horizontal="center" vertical="center" wrapText="1" readingOrder="2"/>
    </xf>
    <xf numFmtId="0" fontId="21" fillId="8" borderId="40" xfId="0" applyFont="1" applyFill="1" applyBorder="1" applyAlignment="1" applyProtection="1">
      <alignment horizontal="center" vertical="center" wrapText="1" readingOrder="2"/>
    </xf>
    <xf numFmtId="3" fontId="8" fillId="2" borderId="6" xfId="0" applyNumberFormat="1" applyFont="1" applyFill="1" applyBorder="1" applyAlignment="1" applyProtection="1">
      <alignment horizontal="center" vertical="center" wrapText="1" readingOrder="2"/>
    </xf>
    <xf numFmtId="0" fontId="21" fillId="8" borderId="46" xfId="0" applyFont="1" applyFill="1" applyBorder="1" applyAlignment="1" applyProtection="1">
      <alignment horizontal="center" vertical="center" wrapText="1" readingOrder="2"/>
    </xf>
    <xf numFmtId="0" fontId="21" fillId="8" borderId="8" xfId="0" applyFont="1" applyFill="1" applyBorder="1" applyAlignment="1" applyProtection="1">
      <alignment horizontal="center" vertical="center" wrapText="1" readingOrder="2"/>
    </xf>
    <xf numFmtId="0" fontId="21" fillId="8" borderId="37" xfId="0" applyFont="1" applyFill="1" applyBorder="1" applyAlignment="1" applyProtection="1">
      <alignment horizontal="center" vertical="center" wrapText="1" readingOrder="2"/>
    </xf>
    <xf numFmtId="0" fontId="4" fillId="2" borderId="12" xfId="0" applyFont="1" applyFill="1" applyBorder="1" applyAlignment="1" applyProtection="1">
      <alignment horizontal="right" vertical="center" wrapText="1" readingOrder="2"/>
    </xf>
    <xf numFmtId="0" fontId="4" fillId="2" borderId="12" xfId="0" quotePrefix="1" applyFont="1" applyFill="1" applyBorder="1" applyAlignment="1" applyProtection="1">
      <alignment horizontal="right" vertical="center" wrapText="1" readingOrder="2"/>
    </xf>
    <xf numFmtId="0" fontId="21" fillId="8" borderId="6" xfId="0" applyFont="1" applyFill="1" applyBorder="1" applyAlignment="1" applyProtection="1">
      <alignment horizontal="center" wrapText="1" readingOrder="2"/>
    </xf>
    <xf numFmtId="3" fontId="3" fillId="2" borderId="18" xfId="0" applyNumberFormat="1" applyFont="1" applyFill="1" applyBorder="1" applyAlignment="1" applyProtection="1">
      <alignment horizontal="center" vertical="center" wrapText="1" readingOrder="2"/>
    </xf>
    <xf numFmtId="9" fontId="3" fillId="2" borderId="18" xfId="3" applyFont="1" applyFill="1" applyBorder="1" applyAlignment="1" applyProtection="1">
      <alignment horizontal="center" vertical="center" wrapText="1" readingOrder="2"/>
    </xf>
    <xf numFmtId="0" fontId="21" fillId="8" borderId="12" xfId="0" applyFont="1" applyFill="1" applyBorder="1" applyAlignment="1" applyProtection="1">
      <alignment horizontal="center" wrapText="1" readingOrder="2"/>
    </xf>
    <xf numFmtId="166" fontId="8" fillId="2" borderId="6" xfId="3" applyNumberFormat="1" applyFont="1" applyFill="1" applyBorder="1" applyAlignment="1" applyProtection="1">
      <alignment horizontal="center" vertical="center" wrapText="1" readingOrder="2"/>
    </xf>
    <xf numFmtId="14" fontId="3" fillId="0" borderId="16" xfId="0" applyNumberFormat="1" applyFont="1" applyFill="1" applyBorder="1" applyAlignment="1" applyProtection="1">
      <alignment horizontal="center"/>
    </xf>
    <xf numFmtId="3" fontId="8" fillId="7" borderId="16" xfId="0" applyNumberFormat="1" applyFont="1" applyFill="1" applyBorder="1" applyAlignment="1" applyProtection="1">
      <alignment horizontal="center" vertical="center" wrapText="1" readingOrder="2"/>
    </xf>
    <xf numFmtId="3" fontId="8" fillId="7" borderId="47" xfId="0" applyNumberFormat="1" applyFont="1" applyFill="1" applyBorder="1" applyAlignment="1" applyProtection="1">
      <alignment horizontal="center" vertical="center" wrapText="1" readingOrder="2"/>
    </xf>
    <xf numFmtId="49" fontId="23" fillId="3" borderId="6" xfId="0" applyNumberFormat="1" applyFont="1" applyFill="1" applyBorder="1" applyAlignment="1" applyProtection="1">
      <alignment horizontal="center" vertical="top" wrapText="1"/>
    </xf>
    <xf numFmtId="3" fontId="21" fillId="2" borderId="21" xfId="0" applyNumberFormat="1" applyFont="1" applyFill="1" applyBorder="1" applyAlignment="1" applyProtection="1">
      <alignment horizontal="right" vertical="center" wrapText="1" readingOrder="2"/>
    </xf>
    <xf numFmtId="0" fontId="3" fillId="10" borderId="6" xfId="0" applyFont="1" applyFill="1" applyBorder="1" applyAlignment="1" applyProtection="1">
      <alignment wrapText="1"/>
    </xf>
    <xf numFmtId="1" fontId="23" fillId="2" borderId="6" xfId="0" applyNumberFormat="1" applyFont="1" applyFill="1" applyBorder="1" applyAlignment="1" applyProtection="1">
      <alignment horizontal="center" vertical="top" wrapText="1"/>
    </xf>
    <xf numFmtId="0" fontId="2" fillId="11" borderId="17" xfId="0" applyFont="1" applyFill="1" applyBorder="1" applyAlignment="1" applyProtection="1">
      <alignment horizontal="center" wrapText="1" readingOrder="2"/>
    </xf>
    <xf numFmtId="0" fontId="2" fillId="12" borderId="18" xfId="0" applyFont="1" applyFill="1" applyBorder="1" applyAlignment="1" applyProtection="1">
      <alignment horizontal="center" wrapText="1" readingOrder="2"/>
    </xf>
    <xf numFmtId="14" fontId="2" fillId="11" borderId="18" xfId="0" applyNumberFormat="1" applyFont="1" applyFill="1" applyBorder="1" applyAlignment="1" applyProtection="1">
      <alignment horizontal="center" wrapText="1" readingOrder="2"/>
    </xf>
    <xf numFmtId="0" fontId="2" fillId="11" borderId="18" xfId="0" applyFont="1" applyFill="1" applyBorder="1" applyAlignment="1" applyProtection="1">
      <alignment horizontal="center" wrapText="1" readingOrder="1"/>
    </xf>
    <xf numFmtId="3" fontId="7" fillId="2" borderId="2" xfId="0" applyNumberFormat="1" applyFont="1" applyFill="1" applyBorder="1" applyAlignment="1" applyProtection="1">
      <alignment horizontal="right" vertical="center" wrapText="1" readingOrder="2"/>
    </xf>
    <xf numFmtId="3" fontId="9" fillId="2" borderId="2" xfId="0" applyNumberFormat="1" applyFont="1" applyFill="1" applyBorder="1" applyAlignment="1" applyProtection="1">
      <alignment horizontal="right" vertical="center" wrapText="1" readingOrder="2"/>
    </xf>
    <xf numFmtId="0" fontId="21" fillId="7" borderId="17" xfId="0" applyFont="1" applyFill="1" applyBorder="1" applyAlignment="1" applyProtection="1">
      <alignment horizontal="center" wrapText="1" readingOrder="2"/>
    </xf>
    <xf numFmtId="0" fontId="21" fillId="7" borderId="21" xfId="0" applyFont="1" applyFill="1" applyBorder="1" applyAlignment="1" applyProtection="1">
      <alignment horizontal="center" wrapText="1" readingOrder="2"/>
    </xf>
    <xf numFmtId="166" fontId="8" fillId="7" borderId="48" xfId="3" applyNumberFormat="1" applyFont="1" applyFill="1" applyBorder="1" applyAlignment="1" applyProtection="1">
      <alignment horizontal="center" vertical="center" wrapText="1" readingOrder="2"/>
    </xf>
    <xf numFmtId="3" fontId="8" fillId="7" borderId="49" xfId="0" applyNumberFormat="1" applyFont="1" applyFill="1" applyBorder="1" applyAlignment="1" applyProtection="1">
      <alignment horizontal="center" vertical="center" wrapText="1" readingOrder="2"/>
    </xf>
    <xf numFmtId="9" fontId="8" fillId="7" borderId="39" xfId="3" applyNumberFormat="1" applyFont="1" applyFill="1" applyBorder="1" applyAlignment="1" applyProtection="1">
      <alignment horizontal="center" vertical="center" wrapText="1" readingOrder="2"/>
    </xf>
    <xf numFmtId="0" fontId="3" fillId="9" borderId="6" xfId="0" applyFont="1" applyFill="1" applyBorder="1" applyAlignment="1" applyProtection="1">
      <alignment horizontal="center"/>
    </xf>
    <xf numFmtId="14" fontId="23" fillId="3" borderId="6" xfId="0" applyNumberFormat="1" applyFont="1" applyFill="1" applyBorder="1" applyAlignment="1" applyProtection="1">
      <alignment horizontal="center" vertical="top" wrapText="1"/>
    </xf>
    <xf numFmtId="0" fontId="9" fillId="0" borderId="1" xfId="0" applyFont="1" applyBorder="1" applyAlignment="1" applyProtection="1">
      <alignment horizontal="center"/>
    </xf>
    <xf numFmtId="0" fontId="9" fillId="0" borderId="1" xfId="0" applyFont="1" applyFill="1" applyBorder="1" applyProtection="1"/>
    <xf numFmtId="0" fontId="3" fillId="7" borderId="16" xfId="0" applyFont="1" applyFill="1" applyBorder="1" applyAlignment="1" applyProtection="1">
      <alignment horizontal="center"/>
    </xf>
    <xf numFmtId="49" fontId="23" fillId="3" borderId="16" xfId="0" applyNumberFormat="1" applyFont="1" applyFill="1" applyBorder="1" applyAlignment="1" applyProtection="1">
      <alignment horizontal="center" vertical="top" wrapText="1"/>
    </xf>
    <xf numFmtId="0" fontId="8" fillId="0" borderId="1" xfId="0" applyFont="1" applyBorder="1" applyProtection="1"/>
    <xf numFmtId="9" fontId="9" fillId="0" borderId="0" xfId="3" applyFont="1" applyProtection="1"/>
    <xf numFmtId="0" fontId="9" fillId="0" borderId="0" xfId="0" applyFont="1" applyAlignment="1" applyProtection="1">
      <alignment wrapText="1"/>
    </xf>
    <xf numFmtId="3" fontId="9" fillId="0" borderId="0" xfId="0" applyNumberFormat="1" applyFont="1" applyBorder="1" applyAlignment="1" applyProtection="1">
      <alignment horizontal="right" wrapText="1"/>
    </xf>
    <xf numFmtId="0" fontId="9" fillId="13" borderId="6" xfId="0" applyFont="1" applyFill="1" applyBorder="1" applyAlignment="1" applyProtection="1">
      <alignment horizontal="center" wrapText="1"/>
    </xf>
    <xf numFmtId="0" fontId="9" fillId="13" borderId="6" xfId="0" applyFont="1" applyFill="1" applyBorder="1" applyAlignment="1" applyProtection="1">
      <alignment horizontal="center"/>
    </xf>
    <xf numFmtId="3" fontId="3" fillId="0" borderId="0" xfId="0" applyNumberFormat="1" applyFont="1" applyBorder="1" applyAlignment="1" applyProtection="1">
      <alignment horizontal="right" wrapText="1"/>
    </xf>
    <xf numFmtId="0" fontId="29" fillId="0" borderId="0" xfId="0" applyFont="1" applyFill="1" applyBorder="1" applyAlignment="1" applyProtection="1">
      <alignment horizontal="right"/>
    </xf>
    <xf numFmtId="168" fontId="9" fillId="9" borderId="6" xfId="0" applyNumberFormat="1" applyFont="1" applyFill="1" applyBorder="1" applyAlignment="1" applyProtection="1">
      <alignment horizontal="right" vertical="center" wrapText="1"/>
    </xf>
    <xf numFmtId="9" fontId="16" fillId="0" borderId="28" xfId="3" applyNumberFormat="1" applyFont="1" applyFill="1" applyBorder="1" applyAlignment="1" applyProtection="1">
      <alignment horizontal="center" vertical="top" wrapText="1" readingOrder="2"/>
    </xf>
    <xf numFmtId="9" fontId="16" fillId="0" borderId="50" xfId="3" applyNumberFormat="1" applyFont="1" applyFill="1" applyBorder="1" applyAlignment="1" applyProtection="1">
      <alignment horizontal="center" vertical="top" wrapText="1" readingOrder="2"/>
    </xf>
    <xf numFmtId="3" fontId="9" fillId="7" borderId="12" xfId="0" applyNumberFormat="1" applyFont="1" applyFill="1" applyBorder="1" applyAlignment="1" applyProtection="1">
      <alignment horizontal="center" vertical="center" wrapText="1" readingOrder="2"/>
    </xf>
    <xf numFmtId="0" fontId="7" fillId="7" borderId="44" xfId="0" applyFont="1" applyFill="1" applyBorder="1" applyAlignment="1" applyProtection="1">
      <alignment horizontal="center" wrapText="1" readingOrder="2"/>
    </xf>
    <xf numFmtId="0" fontId="7" fillId="7" borderId="18" xfId="0" quotePrefix="1" applyFont="1" applyFill="1" applyBorder="1" applyAlignment="1" applyProtection="1">
      <alignment horizontal="center" wrapText="1" readingOrder="2"/>
    </xf>
    <xf numFmtId="9" fontId="15" fillId="0" borderId="6" xfId="5" applyNumberFormat="1" applyFont="1" applyBorder="1" applyAlignment="1" applyProtection="1">
      <alignment horizontal="center" vertical="center"/>
    </xf>
    <xf numFmtId="9" fontId="15" fillId="7" borderId="6" xfId="5" applyNumberFormat="1" applyFont="1" applyFill="1" applyBorder="1" applyAlignment="1" applyProtection="1">
      <alignment horizontal="center" vertical="center"/>
    </xf>
    <xf numFmtId="3" fontId="9" fillId="0" borderId="6" xfId="0" applyNumberFormat="1" applyFont="1" applyFill="1" applyBorder="1" applyAlignment="1" applyProtection="1">
      <alignment horizontal="center" vertical="center" wrapText="1" readingOrder="2"/>
    </xf>
    <xf numFmtId="49" fontId="22" fillId="0" borderId="6" xfId="0" applyNumberFormat="1" applyFont="1" applyBorder="1" applyAlignment="1" applyProtection="1">
      <alignment horizontal="center" vertical="center" wrapText="1"/>
      <protection locked="0"/>
    </xf>
    <xf numFmtId="49" fontId="22" fillId="0" borderId="13" xfId="0" applyNumberFormat="1" applyFont="1" applyBorder="1" applyAlignment="1" applyProtection="1">
      <alignment horizontal="center" vertical="center" wrapText="1"/>
      <protection locked="0"/>
    </xf>
    <xf numFmtId="3" fontId="9" fillId="7" borderId="42" xfId="0" applyNumberFormat="1" applyFont="1" applyFill="1" applyBorder="1" applyAlignment="1" applyProtection="1">
      <alignment horizontal="center" vertical="center" wrapText="1" readingOrder="2"/>
    </xf>
    <xf numFmtId="0" fontId="7" fillId="14" borderId="8" xfId="0" applyFont="1" applyFill="1" applyBorder="1" applyAlignment="1" applyProtection="1">
      <alignment horizontal="center" wrapText="1" readingOrder="2"/>
    </xf>
    <xf numFmtId="9" fontId="9" fillId="7" borderId="6" xfId="3" applyFont="1" applyFill="1" applyBorder="1" applyAlignment="1" applyProtection="1">
      <alignment horizontal="center" vertical="center" wrapText="1" readingOrder="1"/>
    </xf>
    <xf numFmtId="9" fontId="9" fillId="7" borderId="40" xfId="3" applyFont="1" applyFill="1" applyBorder="1" applyAlignment="1" applyProtection="1">
      <alignment horizontal="center" vertical="center" wrapText="1" readingOrder="1"/>
    </xf>
    <xf numFmtId="14" fontId="22" fillId="0" borderId="12" xfId="0" applyNumberFormat="1" applyFont="1" applyBorder="1" applyAlignment="1" applyProtection="1">
      <alignment horizontal="center" vertical="center" wrapText="1"/>
      <protection locked="0"/>
    </xf>
    <xf numFmtId="14" fontId="22" fillId="0" borderId="6" xfId="0" applyNumberFormat="1" applyFont="1" applyBorder="1" applyAlignment="1" applyProtection="1">
      <alignment horizontal="center" vertical="center" wrapText="1"/>
      <protection locked="0"/>
    </xf>
    <xf numFmtId="164" fontId="22" fillId="0" borderId="6" xfId="0" applyNumberFormat="1" applyFont="1" applyBorder="1" applyAlignment="1" applyProtection="1">
      <alignment horizontal="center" vertical="center" wrapText="1"/>
      <protection locked="0"/>
    </xf>
    <xf numFmtId="164" fontId="22" fillId="0" borderId="12" xfId="0" applyNumberFormat="1" applyFont="1" applyBorder="1" applyAlignment="1" applyProtection="1">
      <alignment horizontal="center" vertical="center" wrapText="1"/>
      <protection locked="0"/>
    </xf>
    <xf numFmtId="49" fontId="23" fillId="0" borderId="12" xfId="0" applyNumberFormat="1" applyFont="1" applyFill="1" applyBorder="1" applyAlignment="1" applyProtection="1">
      <alignment horizontal="center" vertical="top" wrapText="1"/>
    </xf>
    <xf numFmtId="0" fontId="20" fillId="2" borderId="7" xfId="0" applyFont="1" applyFill="1" applyBorder="1" applyAlignment="1" applyProtection="1">
      <alignment horizontal="center" wrapText="1" readingOrder="2"/>
    </xf>
    <xf numFmtId="165" fontId="9" fillId="15" borderId="0" xfId="2" applyNumberFormat="1" applyFont="1" applyFill="1" applyBorder="1" applyAlignment="1" applyProtection="1">
      <alignment horizontal="center" wrapText="1"/>
    </xf>
    <xf numFmtId="0" fontId="7" fillId="2" borderId="35" xfId="0" applyFont="1" applyFill="1" applyBorder="1" applyAlignment="1" applyProtection="1">
      <alignment horizontal="center" wrapText="1" readingOrder="2"/>
    </xf>
    <xf numFmtId="14" fontId="16" fillId="2" borderId="6" xfId="0" applyNumberFormat="1" applyFont="1" applyFill="1" applyBorder="1" applyAlignment="1" applyProtection="1">
      <alignment wrapText="1" readingOrder="2"/>
    </xf>
    <xf numFmtId="0" fontId="7" fillId="2" borderId="6" xfId="0" quotePrefix="1" applyFont="1" applyFill="1" applyBorder="1" applyAlignment="1" applyProtection="1">
      <alignment horizontal="center" wrapText="1" readingOrder="2"/>
    </xf>
    <xf numFmtId="14" fontId="2" fillId="12" borderId="18" xfId="0" applyNumberFormat="1" applyFont="1" applyFill="1" applyBorder="1" applyAlignment="1" applyProtection="1">
      <alignment horizontal="center" wrapText="1" readingOrder="2"/>
    </xf>
    <xf numFmtId="170" fontId="17" fillId="0" borderId="0" xfId="1" applyNumberFormat="1" applyFont="1" applyBorder="1" applyProtection="1"/>
    <xf numFmtId="170" fontId="9" fillId="0" borderId="0" xfId="1" applyNumberFormat="1" applyFont="1" applyProtection="1"/>
    <xf numFmtId="170" fontId="9" fillId="0" borderId="0" xfId="1" applyNumberFormat="1" applyFont="1" applyAlignment="1" applyProtection="1">
      <alignment horizontal="center"/>
    </xf>
    <xf numFmtId="170" fontId="9" fillId="0" borderId="0" xfId="1" applyNumberFormat="1" applyFont="1" applyAlignment="1" applyProtection="1">
      <alignment vertical="center"/>
    </xf>
    <xf numFmtId="170" fontId="9" fillId="0" borderId="0" xfId="1" applyNumberFormat="1" applyFont="1" applyAlignment="1" applyProtection="1">
      <alignment wrapText="1"/>
    </xf>
    <xf numFmtId="3" fontId="8" fillId="7" borderId="12" xfId="0" applyNumberFormat="1" applyFont="1" applyFill="1" applyBorder="1" applyAlignment="1" applyProtection="1">
      <alignment horizontal="center" vertical="center" wrapText="1" readingOrder="2"/>
    </xf>
    <xf numFmtId="0" fontId="24" fillId="7" borderId="51" xfId="0" applyFont="1" applyFill="1" applyBorder="1" applyAlignment="1" applyProtection="1">
      <alignment horizontal="center" wrapText="1"/>
    </xf>
    <xf numFmtId="0" fontId="24" fillId="7" borderId="1" xfId="0" applyFont="1" applyFill="1" applyBorder="1" applyAlignment="1" applyProtection="1">
      <alignment horizontal="center" wrapText="1"/>
    </xf>
    <xf numFmtId="0" fontId="9" fillId="7" borderId="1" xfId="0" applyFont="1" applyFill="1" applyBorder="1" applyAlignment="1" applyProtection="1">
      <alignment vertical="center"/>
    </xf>
    <xf numFmtId="0" fontId="9" fillId="7" borderId="5" xfId="0" applyFont="1" applyFill="1" applyBorder="1" applyAlignment="1" applyProtection="1">
      <alignment vertical="center"/>
    </xf>
    <xf numFmtId="165" fontId="16" fillId="2" borderId="7" xfId="0" applyNumberFormat="1" applyFont="1" applyFill="1" applyBorder="1" applyAlignment="1" applyProtection="1">
      <alignment wrapText="1" readingOrder="2"/>
    </xf>
    <xf numFmtId="0" fontId="10" fillId="2" borderId="27" xfId="4" applyFill="1" applyBorder="1" applyAlignment="1" applyProtection="1">
      <alignment horizontal="center" wrapText="1" readingOrder="2"/>
    </xf>
    <xf numFmtId="0" fontId="36" fillId="3" borderId="0" xfId="0" applyFont="1" applyFill="1" applyProtection="1"/>
    <xf numFmtId="0" fontId="7" fillId="0" borderId="0" xfId="0" applyFont="1" applyProtection="1"/>
    <xf numFmtId="0" fontId="8" fillId="0" borderId="6" xfId="0" applyFont="1" applyBorder="1" applyAlignment="1" applyProtection="1">
      <alignment vertical="center" wrapText="1" readingOrder="2"/>
      <protection locked="0"/>
    </xf>
    <xf numFmtId="3" fontId="8" fillId="0" borderId="6" xfId="4" applyNumberFormat="1" applyFont="1" applyBorder="1" applyAlignment="1" applyProtection="1">
      <alignment horizontal="center" vertical="center"/>
      <protection locked="0"/>
    </xf>
    <xf numFmtId="3" fontId="8" fillId="0" borderId="6" xfId="4" quotePrefix="1" applyNumberFormat="1" applyFont="1" applyBorder="1" applyAlignment="1" applyProtection="1">
      <alignment horizontal="center" vertical="center"/>
      <protection locked="0"/>
    </xf>
    <xf numFmtId="3" fontId="8" fillId="0" borderId="6" xfId="0" applyNumberFormat="1" applyFont="1" applyBorder="1" applyAlignment="1" applyProtection="1">
      <alignment horizontal="center" vertical="center" wrapText="1" readingOrder="2"/>
      <protection locked="0"/>
    </xf>
    <xf numFmtId="3" fontId="8" fillId="8" borderId="6" xfId="0" applyNumberFormat="1" applyFont="1" applyFill="1" applyBorder="1" applyAlignment="1" applyProtection="1">
      <alignment horizontal="center" vertical="center" wrapText="1" readingOrder="2"/>
    </xf>
    <xf numFmtId="0" fontId="3" fillId="2" borderId="6" xfId="0" applyFont="1" applyFill="1" applyBorder="1" applyAlignment="1" applyProtection="1">
      <alignment horizontal="center" vertical="center" wrapText="1" readingOrder="2"/>
    </xf>
    <xf numFmtId="0" fontId="8" fillId="2" borderId="6" xfId="0" applyFont="1" applyFill="1" applyBorder="1" applyAlignment="1" applyProtection="1">
      <alignment horizontal="center" vertical="center" wrapText="1" readingOrder="2"/>
    </xf>
    <xf numFmtId="3" fontId="8" fillId="0" borderId="6" xfId="4" applyNumberFormat="1" applyFont="1" applyBorder="1" applyAlignment="1" applyProtection="1">
      <alignment horizontal="center" vertical="center" wrapText="1"/>
      <protection locked="0"/>
    </xf>
    <xf numFmtId="3" fontId="8" fillId="0" borderId="6" xfId="4" quotePrefix="1" applyNumberFormat="1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vertical="center" wrapText="1" readingOrder="2"/>
    </xf>
    <xf numFmtId="14" fontId="8" fillId="0" borderId="6" xfId="0" applyNumberFormat="1" applyFont="1" applyBorder="1" applyAlignment="1" applyProtection="1">
      <alignment vertical="center" wrapText="1" readingOrder="2"/>
      <protection locked="0"/>
    </xf>
    <xf numFmtId="9" fontId="8" fillId="0" borderId="6" xfId="3" applyNumberFormat="1" applyFont="1" applyFill="1" applyBorder="1" applyAlignment="1" applyProtection="1">
      <alignment horizontal="center" vertical="center" wrapText="1" readingOrder="2"/>
      <protection locked="0"/>
    </xf>
    <xf numFmtId="4" fontId="8" fillId="0" borderId="6" xfId="3" applyNumberFormat="1" applyFont="1" applyFill="1" applyBorder="1" applyAlignment="1" applyProtection="1">
      <alignment horizontal="center" vertical="center" wrapText="1" readingOrder="2"/>
      <protection locked="0"/>
    </xf>
    <xf numFmtId="3" fontId="8" fillId="0" borderId="6" xfId="1" applyNumberFormat="1" applyFont="1" applyFill="1" applyBorder="1" applyAlignment="1" applyProtection="1">
      <alignment horizontal="center" vertical="center" wrapText="1" readingOrder="2"/>
      <protection locked="0"/>
    </xf>
    <xf numFmtId="3" fontId="8" fillId="8" borderId="6" xfId="1" applyNumberFormat="1" applyFont="1" applyFill="1" applyBorder="1" applyAlignment="1" applyProtection="1">
      <alignment horizontal="center" vertical="center" wrapText="1" readingOrder="2"/>
    </xf>
    <xf numFmtId="10" fontId="8" fillId="0" borderId="27" xfId="3" applyNumberFormat="1" applyFont="1" applyFill="1" applyBorder="1" applyAlignment="1" applyProtection="1">
      <alignment horizontal="center" vertical="center" wrapText="1" readingOrder="2"/>
      <protection locked="0"/>
    </xf>
    <xf numFmtId="4" fontId="8" fillId="0" borderId="6" xfId="3" applyNumberFormat="1" applyFont="1" applyFill="1" applyBorder="1" applyAlignment="1" applyProtection="1">
      <alignment vertical="center" wrapText="1" readingOrder="2"/>
      <protection locked="0"/>
    </xf>
    <xf numFmtId="3" fontId="3" fillId="2" borderId="6" xfId="0" applyNumberFormat="1" applyFont="1" applyFill="1" applyBorder="1" applyAlignment="1" applyProtection="1">
      <alignment horizontal="center" wrapText="1" readingOrder="2"/>
    </xf>
    <xf numFmtId="3" fontId="8" fillId="8" borderId="6" xfId="0" applyNumberFormat="1" applyFont="1" applyFill="1" applyBorder="1" applyAlignment="1" applyProtection="1">
      <alignment horizontal="center"/>
    </xf>
    <xf numFmtId="0" fontId="8" fillId="0" borderId="6" xfId="0" applyFont="1" applyBorder="1" applyAlignment="1" applyProtection="1">
      <alignment horizontal="right" vertical="center" wrapText="1" readingOrder="2"/>
      <protection locked="0"/>
    </xf>
    <xf numFmtId="3" fontId="8" fillId="0" borderId="27" xfId="5" applyNumberFormat="1" applyFont="1" applyBorder="1" applyAlignment="1" applyProtection="1">
      <alignment horizontal="right" vertical="center"/>
      <protection locked="0"/>
    </xf>
    <xf numFmtId="3" fontId="8" fillId="0" borderId="16" xfId="5" applyNumberFormat="1" applyFont="1" applyBorder="1" applyAlignment="1" applyProtection="1">
      <alignment horizontal="center" vertical="center"/>
      <protection locked="0"/>
    </xf>
    <xf numFmtId="3" fontId="8" fillId="0" borderId="6" xfId="5" applyNumberFormat="1" applyFont="1" applyBorder="1" applyAlignment="1" applyProtection="1">
      <alignment horizontal="center" vertical="center"/>
      <protection locked="0"/>
    </xf>
    <xf numFmtId="9" fontId="8" fillId="0" borderId="6" xfId="5" applyNumberFormat="1" applyFont="1" applyBorder="1" applyAlignment="1" applyProtection="1">
      <alignment horizontal="center" vertical="center"/>
      <protection locked="0"/>
    </xf>
    <xf numFmtId="1" fontId="8" fillId="0" borderId="13" xfId="5" applyNumberFormat="1" applyFont="1" applyBorder="1" applyAlignment="1" applyProtection="1">
      <alignment horizontal="center" vertical="center"/>
      <protection locked="0"/>
    </xf>
    <xf numFmtId="3" fontId="8" fillId="8" borderId="16" xfId="0" applyNumberFormat="1" applyFont="1" applyFill="1" applyBorder="1" applyAlignment="1" applyProtection="1">
      <alignment horizontal="center" vertical="center" wrapText="1" readingOrder="1"/>
    </xf>
    <xf numFmtId="4" fontId="8" fillId="2" borderId="6" xfId="0" applyNumberFormat="1" applyFont="1" applyFill="1" applyBorder="1" applyAlignment="1" applyProtection="1">
      <alignment horizontal="center" vertical="center" wrapText="1" readingOrder="2"/>
    </xf>
    <xf numFmtId="3" fontId="8" fillId="2" borderId="13" xfId="0" applyNumberFormat="1" applyFont="1" applyFill="1" applyBorder="1" applyAlignment="1" applyProtection="1">
      <alignment horizontal="center" vertical="center" wrapText="1" readingOrder="2"/>
    </xf>
    <xf numFmtId="49" fontId="8" fillId="0" borderId="6" xfId="0" applyNumberFormat="1" applyFont="1" applyBorder="1" applyAlignment="1" applyProtection="1">
      <alignment horizontal="right" vertical="center" wrapText="1" readingOrder="2"/>
      <protection locked="0"/>
    </xf>
    <xf numFmtId="0" fontId="8" fillId="0" borderId="40" xfId="0" applyFont="1" applyBorder="1" applyAlignment="1" applyProtection="1">
      <alignment horizontal="right" vertical="center" wrapText="1" readingOrder="2"/>
      <protection locked="0"/>
    </xf>
    <xf numFmtId="49" fontId="8" fillId="0" borderId="40" xfId="0" applyNumberFormat="1" applyFont="1" applyBorder="1" applyAlignment="1" applyProtection="1">
      <alignment horizontal="right" vertical="center" wrapText="1" readingOrder="2"/>
      <protection locked="0"/>
    </xf>
    <xf numFmtId="3" fontId="3" fillId="2" borderId="17" xfId="0" applyNumberFormat="1" applyFont="1" applyFill="1" applyBorder="1" applyAlignment="1" applyProtection="1">
      <alignment horizontal="center" vertical="center" wrapText="1" readingOrder="2"/>
    </xf>
    <xf numFmtId="3" fontId="3" fillId="2" borderId="21" xfId="0" applyNumberFormat="1" applyFont="1" applyFill="1" applyBorder="1" applyAlignment="1" applyProtection="1">
      <alignment horizontal="center" vertical="center" wrapText="1" readingOrder="2"/>
    </xf>
    <xf numFmtId="167" fontId="3" fillId="2" borderId="21" xfId="0" applyNumberFormat="1" applyFont="1" applyFill="1" applyBorder="1" applyAlignment="1" applyProtection="1">
      <alignment horizontal="center" vertical="center" wrapText="1" readingOrder="2"/>
    </xf>
    <xf numFmtId="0" fontId="3" fillId="2" borderId="7" xfId="0" applyFont="1" applyFill="1" applyBorder="1" applyAlignment="1" applyProtection="1">
      <alignment horizontal="left" vertical="center" wrapText="1" readingOrder="2"/>
    </xf>
    <xf numFmtId="9" fontId="3" fillId="2" borderId="7" xfId="0" applyNumberFormat="1" applyFont="1" applyFill="1" applyBorder="1" applyAlignment="1" applyProtection="1">
      <alignment vertical="center" wrapText="1" readingOrder="2"/>
    </xf>
    <xf numFmtId="3" fontId="3" fillId="2" borderId="16" xfId="0" applyNumberFormat="1" applyFont="1" applyFill="1" applyBorder="1" applyAlignment="1" applyProtection="1">
      <alignment horizontal="center" vertical="center" wrapText="1" readingOrder="2"/>
    </xf>
    <xf numFmtId="3" fontId="3" fillId="2" borderId="6" xfId="0" applyNumberFormat="1" applyFont="1" applyFill="1" applyBorder="1" applyAlignment="1" applyProtection="1">
      <alignment horizontal="center" vertical="center" wrapText="1" readingOrder="2"/>
    </xf>
    <xf numFmtId="3" fontId="3" fillId="2" borderId="13" xfId="0" applyNumberFormat="1" applyFont="1" applyFill="1" applyBorder="1" applyAlignment="1" applyProtection="1">
      <alignment horizontal="center" vertical="center" wrapText="1" readingOrder="2"/>
    </xf>
    <xf numFmtId="3" fontId="3" fillId="2" borderId="19" xfId="0" applyNumberFormat="1" applyFont="1" applyFill="1" applyBorder="1" applyAlignment="1" applyProtection="1">
      <alignment horizontal="center" vertical="center" wrapText="1" readingOrder="2"/>
    </xf>
    <xf numFmtId="3" fontId="3" fillId="2" borderId="20" xfId="0" applyNumberFormat="1" applyFont="1" applyFill="1" applyBorder="1" applyAlignment="1" applyProtection="1">
      <alignment horizontal="center" vertical="center" wrapText="1" readingOrder="2"/>
    </xf>
    <xf numFmtId="3" fontId="3" fillId="2" borderId="22" xfId="0" applyNumberFormat="1" applyFont="1" applyFill="1" applyBorder="1" applyAlignment="1" applyProtection="1">
      <alignment horizontal="center" vertical="center" wrapText="1" readingOrder="2"/>
    </xf>
    <xf numFmtId="167" fontId="3" fillId="2" borderId="22" xfId="0" applyNumberFormat="1" applyFont="1" applyFill="1" applyBorder="1" applyAlignment="1" applyProtection="1">
      <alignment horizontal="center" vertical="center" wrapText="1" readingOrder="2"/>
    </xf>
    <xf numFmtId="1" fontId="31" fillId="3" borderId="6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0" xfId="0" applyNumberFormat="1" applyFont="1" applyProtection="1"/>
    <xf numFmtId="2" fontId="9" fillId="0" borderId="0" xfId="0" applyNumberFormat="1" applyFont="1" applyProtection="1"/>
    <xf numFmtId="0" fontId="3" fillId="2" borderId="27" xfId="0" applyFont="1" applyFill="1" applyBorder="1" applyAlignment="1" applyProtection="1">
      <alignment wrapText="1"/>
    </xf>
    <xf numFmtId="0" fontId="22" fillId="0" borderId="48" xfId="0" applyNumberFormat="1" applyFont="1" applyBorder="1" applyAlignment="1" applyProtection="1">
      <alignment horizontal="center" vertical="center" wrapText="1"/>
      <protection locked="0"/>
    </xf>
    <xf numFmtId="0" fontId="39" fillId="3" borderId="0" xfId="0" applyFont="1" applyFill="1" applyProtection="1"/>
    <xf numFmtId="0" fontId="40" fillId="0" borderId="0" xfId="0" applyFont="1" applyFill="1" applyBorder="1" applyProtection="1"/>
    <xf numFmtId="0" fontId="39" fillId="0" borderId="0" xfId="0" applyFont="1" applyFill="1" applyProtection="1"/>
    <xf numFmtId="0" fontId="39" fillId="0" borderId="0" xfId="0" applyFont="1" applyFill="1" applyAlignment="1" applyProtection="1">
      <alignment horizontal="center"/>
    </xf>
    <xf numFmtId="3" fontId="39" fillId="0" borderId="0" xfId="0" applyNumberFormat="1" applyFont="1" applyFill="1" applyAlignment="1" applyProtection="1">
      <alignment vertical="center"/>
    </xf>
    <xf numFmtId="3" fontId="39" fillId="3" borderId="0" xfId="0" applyNumberFormat="1" applyFont="1" applyFill="1" applyAlignment="1" applyProtection="1">
      <alignment vertical="center"/>
    </xf>
    <xf numFmtId="0" fontId="39" fillId="3" borderId="0" xfId="0" applyFont="1" applyFill="1" applyAlignment="1" applyProtection="1">
      <alignment vertical="center"/>
    </xf>
    <xf numFmtId="0" fontId="39" fillId="3" borderId="0" xfId="0" applyFont="1" applyFill="1" applyAlignment="1" applyProtection="1">
      <alignment wrapText="1"/>
    </xf>
    <xf numFmtId="3" fontId="8" fillId="2" borderId="46" xfId="0" applyNumberFormat="1" applyFont="1" applyFill="1" applyBorder="1" applyAlignment="1" applyProtection="1">
      <alignment horizontal="center" vertical="center" wrapText="1" readingOrder="2"/>
    </xf>
    <xf numFmtId="3" fontId="3" fillId="2" borderId="52" xfId="0" applyNumberFormat="1" applyFont="1" applyFill="1" applyBorder="1" applyAlignment="1" applyProtection="1">
      <alignment horizontal="center" vertical="center" wrapText="1" readingOrder="2"/>
    </xf>
    <xf numFmtId="0" fontId="21" fillId="2" borderId="38" xfId="0" applyFont="1" applyFill="1" applyBorder="1" applyAlignment="1" applyProtection="1">
      <alignment horizontal="right" vertical="center" wrapText="1" readingOrder="2"/>
    </xf>
    <xf numFmtId="0" fontId="21" fillId="2" borderId="52" xfId="0" applyFont="1" applyFill="1" applyBorder="1" applyAlignment="1" applyProtection="1">
      <alignment horizontal="right" vertical="center" wrapText="1" readingOrder="2"/>
    </xf>
    <xf numFmtId="171" fontId="8" fillId="0" borderId="6" xfId="4" quotePrefix="1" applyNumberFormat="1" applyFont="1" applyBorder="1" applyAlignment="1" applyProtection="1">
      <alignment horizontal="center" vertical="center"/>
      <protection locked="0"/>
    </xf>
    <xf numFmtId="0" fontId="41" fillId="3" borderId="0" xfId="0" applyFont="1" applyFill="1" applyProtection="1"/>
    <xf numFmtId="0" fontId="41" fillId="3" borderId="0" xfId="0" applyFont="1" applyFill="1" applyAlignment="1" applyProtection="1">
      <alignment vertical="center"/>
    </xf>
    <xf numFmtId="0" fontId="0" fillId="0" borderId="53" xfId="0" quotePrefix="1" applyBorder="1" applyAlignment="1" applyProtection="1">
      <alignment horizontal="center"/>
    </xf>
    <xf numFmtId="0" fontId="7" fillId="7" borderId="16" xfId="0" applyFont="1" applyFill="1" applyBorder="1" applyAlignment="1" applyProtection="1">
      <alignment horizontal="center" wrapText="1" readingOrder="2"/>
    </xf>
    <xf numFmtId="0" fontId="7" fillId="7" borderId="6" xfId="0" applyFont="1" applyFill="1" applyBorder="1" applyAlignment="1" applyProtection="1">
      <alignment horizontal="center" wrapText="1" readingOrder="2"/>
    </xf>
    <xf numFmtId="0" fontId="9" fillId="2" borderId="6" xfId="0" applyFont="1" applyFill="1" applyBorder="1" applyAlignment="1" applyProtection="1">
      <alignment horizontal="center" vertical="center" wrapText="1" readingOrder="2"/>
    </xf>
    <xf numFmtId="0" fontId="9" fillId="0" borderId="6" xfId="0" applyFont="1" applyBorder="1" applyAlignment="1" applyProtection="1">
      <alignment vertical="center" wrapText="1" readingOrder="2"/>
      <protection locked="0"/>
    </xf>
    <xf numFmtId="3" fontId="9" fillId="0" borderId="6" xfId="4" applyNumberFormat="1" applyFont="1" applyBorder="1" applyAlignment="1" applyProtection="1">
      <alignment horizontal="center" vertical="center" wrapText="1"/>
      <protection locked="0"/>
    </xf>
    <xf numFmtId="3" fontId="9" fillId="0" borderId="6" xfId="0" applyNumberFormat="1" applyFont="1" applyBorder="1" applyAlignment="1" applyProtection="1">
      <alignment horizontal="center" vertical="center" wrapText="1" readingOrder="2"/>
      <protection locked="0"/>
    </xf>
    <xf numFmtId="3" fontId="9" fillId="0" borderId="6" xfId="4" quotePrefix="1" applyNumberFormat="1" applyFont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vertical="center" wrapText="1" readingOrder="2"/>
    </xf>
    <xf numFmtId="0" fontId="7" fillId="2" borderId="6" xfId="0" applyFont="1" applyFill="1" applyBorder="1" applyAlignment="1" applyProtection="1">
      <alignment horizontal="center" vertical="center" wrapText="1" readingOrder="2"/>
    </xf>
    <xf numFmtId="3" fontId="9" fillId="2" borderId="6" xfId="0" applyNumberFormat="1" applyFont="1" applyFill="1" applyBorder="1" applyAlignment="1" applyProtection="1">
      <alignment horizontal="center" vertical="center" wrapText="1" readingOrder="2"/>
    </xf>
    <xf numFmtId="3" fontId="9" fillId="8" borderId="6" xfId="0" applyNumberFormat="1" applyFont="1" applyFill="1" applyBorder="1" applyAlignment="1" applyProtection="1">
      <alignment horizontal="center" vertical="center" wrapText="1" readingOrder="2"/>
    </xf>
    <xf numFmtId="14" fontId="16" fillId="2" borderId="7" xfId="0" applyNumberFormat="1" applyFont="1" applyFill="1" applyBorder="1" applyAlignment="1" applyProtection="1">
      <alignment vertical="center" wrapText="1" readingOrder="2"/>
    </xf>
    <xf numFmtId="0" fontId="21" fillId="2" borderId="46" xfId="0" applyFont="1" applyFill="1" applyBorder="1" applyAlignment="1" applyProtection="1">
      <alignment horizontal="right" vertical="center" wrapText="1" readingOrder="2"/>
    </xf>
    <xf numFmtId="0" fontId="4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Fill="1" applyAlignment="1">
      <alignment horizontal="center" vertical="top"/>
    </xf>
    <xf numFmtId="0" fontId="16" fillId="2" borderId="63" xfId="0" applyFont="1" applyFill="1" applyBorder="1" applyAlignment="1" applyProtection="1">
      <alignment horizontal="center" vertical="top" wrapText="1" readingOrder="2"/>
    </xf>
    <xf numFmtId="0" fontId="7" fillId="2" borderId="67" xfId="0" applyFont="1" applyFill="1" applyBorder="1" applyAlignment="1" applyProtection="1">
      <alignment horizontal="center" vertical="top" wrapText="1" readingOrder="2"/>
    </xf>
    <xf numFmtId="0" fontId="7" fillId="2" borderId="68" xfId="0" applyFont="1" applyFill="1" applyBorder="1" applyAlignment="1" applyProtection="1">
      <alignment horizontal="center" vertical="top" wrapText="1" readingOrder="2"/>
    </xf>
    <xf numFmtId="0" fontId="9" fillId="2" borderId="68" xfId="0" applyFont="1" applyFill="1" applyBorder="1" applyAlignment="1" applyProtection="1">
      <alignment horizontal="center" vertical="top" wrapText="1" readingOrder="2"/>
    </xf>
    <xf numFmtId="0" fontId="9" fillId="2" borderId="69" xfId="0" applyFont="1" applyFill="1" applyBorder="1" applyAlignment="1" applyProtection="1">
      <alignment horizontal="center" vertical="top" wrapText="1" readingOrder="2"/>
    </xf>
    <xf numFmtId="0" fontId="21" fillId="2" borderId="70" xfId="0" applyFont="1" applyFill="1" applyBorder="1" applyAlignment="1" applyProtection="1">
      <alignment horizontal="center" vertical="top" wrapText="1" readingOrder="2"/>
    </xf>
    <xf numFmtId="0" fontId="21" fillId="2" borderId="71" xfId="0" applyFont="1" applyFill="1" applyBorder="1" applyAlignment="1" applyProtection="1">
      <alignment horizontal="center" vertical="top" wrapText="1" readingOrder="2"/>
    </xf>
    <xf numFmtId="0" fontId="43" fillId="0" borderId="72" xfId="0" applyFont="1" applyBorder="1" applyAlignment="1">
      <alignment horizontal="center" vertical="top"/>
    </xf>
    <xf numFmtId="3" fontId="43" fillId="0" borderId="75" xfId="0" applyNumberFormat="1" applyFont="1" applyBorder="1" applyAlignment="1">
      <alignment horizontal="center" vertical="top"/>
    </xf>
    <xf numFmtId="3" fontId="3" fillId="8" borderId="75" xfId="0" applyNumberFormat="1" applyFont="1" applyFill="1" applyBorder="1" applyAlignment="1" applyProtection="1">
      <alignment horizontal="center" vertical="center" wrapText="1" readingOrder="2"/>
    </xf>
    <xf numFmtId="0" fontId="43" fillId="0" borderId="77" xfId="0" applyFont="1" applyBorder="1" applyAlignment="1">
      <alignment horizontal="center" vertical="top"/>
    </xf>
    <xf numFmtId="3" fontId="43" fillId="0" borderId="78" xfId="0" applyNumberFormat="1" applyFont="1" applyBorder="1" applyAlignment="1">
      <alignment horizontal="center" vertical="top"/>
    </xf>
    <xf numFmtId="3" fontId="3" fillId="8" borderId="78" xfId="0" applyNumberFormat="1" applyFont="1" applyFill="1" applyBorder="1" applyAlignment="1" applyProtection="1">
      <alignment horizontal="center" vertical="center" wrapText="1" readingOrder="2"/>
    </xf>
    <xf numFmtId="0" fontId="43" fillId="0" borderId="80" xfId="0" applyFont="1" applyBorder="1" applyAlignment="1">
      <alignment horizontal="center" vertical="top"/>
    </xf>
    <xf numFmtId="3" fontId="43" fillId="0" borderId="83" xfId="0" applyNumberFormat="1" applyFont="1" applyBorder="1" applyAlignment="1">
      <alignment horizontal="center" vertical="top"/>
    </xf>
    <xf numFmtId="3" fontId="3" fillId="8" borderId="83" xfId="0" applyNumberFormat="1" applyFont="1" applyFill="1" applyBorder="1" applyAlignment="1" applyProtection="1">
      <alignment horizontal="center" vertical="center" wrapText="1" readingOrder="2"/>
    </xf>
    <xf numFmtId="0" fontId="43" fillId="0" borderId="85" xfId="0" applyFont="1" applyBorder="1" applyAlignment="1">
      <alignment horizontal="center" vertical="top"/>
    </xf>
    <xf numFmtId="0" fontId="7" fillId="18" borderId="86" xfId="0" applyFont="1" applyFill="1" applyBorder="1" applyAlignment="1" applyProtection="1">
      <alignment horizontal="center" vertical="top" wrapText="1" readingOrder="2"/>
    </xf>
    <xf numFmtId="3" fontId="7" fillId="18" borderId="86" xfId="0" applyNumberFormat="1" applyFont="1" applyFill="1" applyBorder="1" applyAlignment="1" applyProtection="1">
      <alignment horizontal="center" vertical="top" wrapText="1" readingOrder="2"/>
    </xf>
    <xf numFmtId="3" fontId="7" fillId="18" borderId="87" xfId="0" applyNumberFormat="1" applyFont="1" applyFill="1" applyBorder="1" applyAlignment="1" applyProtection="1">
      <alignment horizontal="center" vertical="top" wrapText="1" readingOrder="2"/>
    </xf>
    <xf numFmtId="3" fontId="7" fillId="18" borderId="70" xfId="0" applyNumberFormat="1" applyFont="1" applyFill="1" applyBorder="1" applyAlignment="1" applyProtection="1">
      <alignment horizontal="center" vertical="top" wrapText="1" readingOrder="2"/>
    </xf>
    <xf numFmtId="3" fontId="7" fillId="18" borderId="88" xfId="0" applyNumberFormat="1" applyFont="1" applyFill="1" applyBorder="1" applyAlignment="1" applyProtection="1">
      <alignment horizontal="center" vertical="top" wrapText="1" readingOrder="2"/>
    </xf>
    <xf numFmtId="0" fontId="43" fillId="18" borderId="85" xfId="0" applyFont="1" applyFill="1" applyBorder="1" applyAlignment="1">
      <alignment horizontal="center" vertical="top"/>
    </xf>
    <xf numFmtId="0" fontId="43" fillId="18" borderId="89" xfId="0" applyFont="1" applyFill="1" applyBorder="1" applyAlignment="1">
      <alignment horizontal="center" vertical="top"/>
    </xf>
    <xf numFmtId="3" fontId="0" fillId="0" borderId="73" xfId="0" applyNumberFormat="1" applyBorder="1" applyAlignment="1" applyProtection="1">
      <alignment horizontal="center" vertical="top"/>
      <protection locked="0"/>
    </xf>
    <xf numFmtId="3" fontId="0" fillId="0" borderId="74" xfId="0" applyNumberFormat="1" applyBorder="1" applyAlignment="1" applyProtection="1">
      <alignment horizontal="center" vertical="top"/>
      <protection locked="0"/>
    </xf>
    <xf numFmtId="0" fontId="0" fillId="0" borderId="6" xfId="0" applyNumberFormat="1" applyBorder="1" applyAlignment="1" applyProtection="1">
      <alignment horizontal="center" vertical="top"/>
      <protection locked="0"/>
    </xf>
    <xf numFmtId="3" fontId="0" fillId="0" borderId="6" xfId="0" applyNumberFormat="1" applyBorder="1" applyAlignment="1" applyProtection="1">
      <alignment horizontal="center" vertical="top"/>
      <protection locked="0"/>
    </xf>
    <xf numFmtId="3" fontId="0" fillId="0" borderId="27" xfId="0" applyNumberFormat="1" applyBorder="1" applyAlignment="1" applyProtection="1">
      <alignment horizontal="center" vertical="top"/>
      <protection locked="0"/>
    </xf>
    <xf numFmtId="0" fontId="0" fillId="0" borderId="81" xfId="0" applyNumberFormat="1" applyBorder="1" applyAlignment="1" applyProtection="1">
      <alignment horizontal="center" vertical="top"/>
      <protection locked="0"/>
    </xf>
    <xf numFmtId="3" fontId="0" fillId="0" borderId="81" xfId="0" applyNumberFormat="1" applyBorder="1" applyAlignment="1" applyProtection="1">
      <alignment horizontal="center" vertical="top"/>
      <protection locked="0"/>
    </xf>
    <xf numFmtId="3" fontId="0" fillId="0" borderId="82" xfId="0" applyNumberFormat="1" applyBorder="1" applyAlignment="1" applyProtection="1">
      <alignment horizontal="center" vertical="top"/>
      <protection locked="0"/>
    </xf>
    <xf numFmtId="3" fontId="43" fillId="0" borderId="75" xfId="0" applyNumberFormat="1" applyFont="1" applyBorder="1" applyAlignment="1" applyProtection="1">
      <alignment horizontal="center" vertical="top"/>
      <protection locked="0"/>
    </xf>
    <xf numFmtId="3" fontId="43" fillId="0" borderId="78" xfId="0" applyNumberFormat="1" applyFont="1" applyBorder="1" applyAlignment="1" applyProtection="1">
      <alignment horizontal="center" vertical="top"/>
      <protection locked="0"/>
    </xf>
    <xf numFmtId="3" fontId="43" fillId="0" borderId="83" xfId="0" applyNumberFormat="1" applyFont="1" applyBorder="1" applyAlignment="1" applyProtection="1">
      <alignment horizontal="center" vertical="top"/>
      <protection locked="0"/>
    </xf>
    <xf numFmtId="0" fontId="0" fillId="0" borderId="75" xfId="0" applyFill="1" applyBorder="1" applyAlignment="1" applyProtection="1">
      <alignment horizontal="center" vertical="top"/>
      <protection locked="0"/>
    </xf>
    <xf numFmtId="0" fontId="0" fillId="0" borderId="76" xfId="0" applyBorder="1" applyAlignment="1" applyProtection="1">
      <alignment horizontal="center" vertical="top"/>
      <protection locked="0"/>
    </xf>
    <xf numFmtId="0" fontId="0" fillId="0" borderId="78" xfId="0" applyFill="1" applyBorder="1" applyAlignment="1" applyProtection="1">
      <alignment horizontal="center" vertical="top"/>
      <protection locked="0"/>
    </xf>
    <xf numFmtId="0" fontId="0" fillId="0" borderId="79" xfId="0" applyBorder="1" applyAlignment="1" applyProtection="1">
      <alignment horizontal="center" vertical="top"/>
      <protection locked="0"/>
    </xf>
    <xf numFmtId="0" fontId="0" fillId="0" borderId="83" xfId="0" applyFill="1" applyBorder="1" applyAlignment="1" applyProtection="1">
      <alignment horizontal="center" vertical="top"/>
      <protection locked="0"/>
    </xf>
    <xf numFmtId="0" fontId="0" fillId="0" borderId="84" xfId="0" applyBorder="1" applyAlignment="1" applyProtection="1">
      <alignment horizontal="center" vertical="top"/>
      <protection locked="0"/>
    </xf>
    <xf numFmtId="0" fontId="1" fillId="0" borderId="73" xfId="0" applyNumberFormat="1" applyFont="1" applyBorder="1" applyAlignment="1" applyProtection="1">
      <alignment horizontal="center" vertical="top"/>
      <protection locked="0"/>
    </xf>
    <xf numFmtId="3" fontId="1" fillId="0" borderId="73" xfId="0" applyNumberFormat="1" applyFont="1" applyBorder="1" applyAlignment="1" applyProtection="1">
      <alignment horizontal="center" vertical="top"/>
      <protection locked="0"/>
    </xf>
    <xf numFmtId="3" fontId="1" fillId="0" borderId="74" xfId="0" applyNumberFormat="1" applyFont="1" applyBorder="1" applyAlignment="1" applyProtection="1">
      <alignment horizontal="center" vertical="top"/>
      <protection locked="0"/>
    </xf>
    <xf numFmtId="4" fontId="7" fillId="2" borderId="13" xfId="0" applyNumberFormat="1" applyFont="1" applyFill="1" applyBorder="1" applyAlignment="1" applyProtection="1">
      <alignment horizontal="center" vertical="center" wrapText="1" readingOrder="2"/>
    </xf>
    <xf numFmtId="0" fontId="21" fillId="8" borderId="13" xfId="0" applyFont="1" applyFill="1" applyBorder="1" applyAlignment="1" applyProtection="1">
      <alignment horizontal="center" wrapText="1" readingOrder="2"/>
    </xf>
    <xf numFmtId="3" fontId="3" fillId="2" borderId="10" xfId="0" applyNumberFormat="1" applyFont="1" applyFill="1" applyBorder="1" applyAlignment="1" applyProtection="1">
      <alignment horizontal="center" vertical="center" wrapText="1" readingOrder="2"/>
    </xf>
    <xf numFmtId="0" fontId="3" fillId="2" borderId="16" xfId="0" applyFont="1" applyFill="1" applyBorder="1" applyAlignment="1" applyProtection="1">
      <alignment horizontal="center" wrapText="1"/>
    </xf>
    <xf numFmtId="0" fontId="24" fillId="9" borderId="30" xfId="0" applyFont="1" applyFill="1" applyBorder="1" applyAlignment="1" applyProtection="1">
      <alignment horizontal="center" wrapText="1"/>
    </xf>
    <xf numFmtId="0" fontId="24" fillId="7" borderId="30" xfId="0" applyFont="1" applyFill="1" applyBorder="1" applyAlignment="1" applyProtection="1">
      <alignment horizontal="center" wrapText="1"/>
    </xf>
    <xf numFmtId="0" fontId="1" fillId="0" borderId="0" xfId="0" applyFont="1" applyFill="1" applyBorder="1" applyAlignment="1" applyProtection="1">
      <alignment horizontal="center"/>
    </xf>
    <xf numFmtId="0" fontId="10" fillId="2" borderId="54" xfId="4" applyFill="1" applyBorder="1" applyAlignment="1" applyProtection="1"/>
    <xf numFmtId="9" fontId="16" fillId="0" borderId="93" xfId="3" applyNumberFormat="1" applyFont="1" applyFill="1" applyBorder="1" applyAlignment="1" applyProtection="1">
      <alignment horizontal="center" vertical="top" wrapText="1" readingOrder="2"/>
    </xf>
    <xf numFmtId="3" fontId="9" fillId="0" borderId="29" xfId="0" applyNumberFormat="1" applyFont="1" applyBorder="1" applyAlignment="1" applyProtection="1">
      <alignment horizontal="center" vertical="center" wrapText="1" readingOrder="2"/>
    </xf>
    <xf numFmtId="9" fontId="9" fillId="0" borderId="8" xfId="3" applyFont="1" applyBorder="1" applyAlignment="1" applyProtection="1">
      <alignment horizontal="center" vertical="center" wrapText="1" readingOrder="1"/>
    </xf>
    <xf numFmtId="168" fontId="9" fillId="9" borderId="8" xfId="0" applyNumberFormat="1" applyFont="1" applyFill="1" applyBorder="1" applyAlignment="1" applyProtection="1">
      <alignment horizontal="center" vertical="center" wrapText="1"/>
    </xf>
    <xf numFmtId="168" fontId="9" fillId="0" borderId="8" xfId="0" applyNumberFormat="1" applyFont="1" applyFill="1" applyBorder="1" applyAlignment="1" applyProtection="1">
      <alignment horizontal="center" vertical="center" wrapText="1"/>
    </xf>
    <xf numFmtId="3" fontId="9" fillId="0" borderId="23" xfId="0" applyNumberFormat="1" applyFont="1" applyBorder="1" applyAlignment="1" applyProtection="1">
      <alignment horizontal="right" vertical="center" wrapText="1" readingOrder="2"/>
    </xf>
    <xf numFmtId="0" fontId="9" fillId="7" borderId="11" xfId="0" applyFont="1" applyFill="1" applyBorder="1" applyProtection="1"/>
    <xf numFmtId="0" fontId="7" fillId="9" borderId="11" xfId="0" applyFont="1" applyFill="1" applyBorder="1" applyAlignment="1" applyProtection="1">
      <alignment horizontal="center" wrapText="1" readingOrder="2"/>
    </xf>
    <xf numFmtId="0" fontId="9" fillId="9" borderId="11" xfId="0" applyFont="1" applyFill="1" applyBorder="1" applyProtection="1"/>
    <xf numFmtId="0" fontId="9" fillId="13" borderId="27" xfId="0" applyFont="1" applyFill="1" applyBorder="1" applyAlignment="1" applyProtection="1">
      <alignment horizontal="center"/>
    </xf>
    <xf numFmtId="0" fontId="46" fillId="0" borderId="0" xfId="0" applyFont="1"/>
    <xf numFmtId="0" fontId="9" fillId="3" borderId="0" xfId="0" quotePrefix="1" applyFont="1" applyFill="1" applyProtection="1"/>
    <xf numFmtId="0" fontId="9" fillId="3" borderId="0" xfId="0" applyFont="1" applyFill="1" applyAlignment="1" applyProtection="1">
      <alignment vertical="center"/>
      <protection locked="0"/>
    </xf>
    <xf numFmtId="3" fontId="7" fillId="9" borderId="12" xfId="0" applyNumberFormat="1" applyFont="1" applyFill="1" applyBorder="1" applyAlignment="1" applyProtection="1">
      <alignment horizontal="center" vertical="center" wrapText="1" readingOrder="2"/>
    </xf>
    <xf numFmtId="0" fontId="48" fillId="0" borderId="0" xfId="0" applyFont="1"/>
    <xf numFmtId="0" fontId="9" fillId="13" borderId="12" xfId="0" applyFont="1" applyFill="1" applyBorder="1" applyAlignment="1" applyProtection="1">
      <alignment horizontal="center" wrapText="1"/>
    </xf>
    <xf numFmtId="0" fontId="9" fillId="3" borderId="6" xfId="0" applyFont="1" applyFill="1" applyBorder="1" applyProtection="1"/>
    <xf numFmtId="0" fontId="9" fillId="3" borderId="6" xfId="0" applyFont="1" applyFill="1" applyBorder="1" applyAlignment="1" applyProtection="1">
      <alignment horizontal="center"/>
    </xf>
    <xf numFmtId="0" fontId="9" fillId="20" borderId="6" xfId="0" applyFont="1" applyFill="1" applyBorder="1" applyAlignment="1" applyProtection="1">
      <alignment horizontal="center"/>
    </xf>
    <xf numFmtId="0" fontId="9" fillId="20" borderId="6" xfId="0" applyFont="1" applyFill="1" applyBorder="1" applyProtection="1"/>
    <xf numFmtId="0" fontId="9" fillId="19" borderId="6" xfId="0" applyFont="1" applyFill="1" applyBorder="1" applyProtection="1"/>
    <xf numFmtId="165" fontId="9" fillId="19" borderId="6" xfId="0" applyNumberFormat="1" applyFont="1" applyFill="1" applyBorder="1" applyProtection="1"/>
    <xf numFmtId="0" fontId="49" fillId="0" borderId="0" xfId="0" applyFont="1"/>
    <xf numFmtId="0" fontId="24" fillId="9" borderId="30" xfId="0" applyFont="1" applyFill="1" applyBorder="1" applyAlignment="1" applyProtection="1">
      <alignment horizontal="center" wrapText="1"/>
    </xf>
    <xf numFmtId="0" fontId="24" fillId="7" borderId="30" xfId="0" applyFont="1" applyFill="1" applyBorder="1" applyAlignment="1" applyProtection="1">
      <alignment horizontal="center" wrapText="1"/>
    </xf>
    <xf numFmtId="0" fontId="16" fillId="2" borderId="7" xfId="0" applyFont="1" applyFill="1" applyBorder="1" applyAlignment="1" applyProtection="1">
      <alignment horizontal="right" vertical="top" wrapText="1" readingOrder="2"/>
    </xf>
    <xf numFmtId="3" fontId="9" fillId="0" borderId="6" xfId="4" applyNumberFormat="1" applyFont="1" applyBorder="1" applyAlignment="1" applyProtection="1">
      <alignment horizontal="center" vertical="center"/>
      <protection locked="0"/>
    </xf>
    <xf numFmtId="3" fontId="9" fillId="0" borderId="6" xfId="4" quotePrefix="1" applyNumberFormat="1" applyFont="1" applyBorder="1" applyAlignment="1" applyProtection="1">
      <alignment horizontal="center" vertical="center"/>
      <protection locked="0"/>
    </xf>
    <xf numFmtId="0" fontId="39" fillId="0" borderId="0" xfId="0" applyFont="1" applyProtection="1"/>
    <xf numFmtId="0" fontId="39" fillId="0" borderId="0" xfId="0" applyFont="1" applyAlignment="1" applyProtection="1">
      <alignment horizontal="right"/>
    </xf>
    <xf numFmtId="0" fontId="9" fillId="3" borderId="27" xfId="0" applyFont="1" applyFill="1" applyBorder="1" applyProtection="1"/>
    <xf numFmtId="3" fontId="3" fillId="0" borderId="0" xfId="0" applyNumberFormat="1" applyFont="1" applyBorder="1" applyAlignment="1" applyProtection="1">
      <alignment horizontal="right" wrapText="1" readingOrder="2"/>
    </xf>
    <xf numFmtId="3" fontId="3" fillId="2" borderId="42" xfId="0" applyNumberFormat="1" applyFont="1" applyFill="1" applyBorder="1" applyAlignment="1" applyProtection="1">
      <alignment horizontal="center" vertical="center" wrapText="1" readingOrder="2"/>
    </xf>
    <xf numFmtId="167" fontId="3" fillId="2" borderId="11" xfId="0" applyNumberFormat="1" applyFont="1" applyFill="1" applyBorder="1" applyAlignment="1" applyProtection="1">
      <alignment horizontal="center" vertical="center" wrapText="1" readingOrder="2"/>
    </xf>
    <xf numFmtId="0" fontId="3" fillId="2" borderId="20" xfId="0" applyFont="1" applyFill="1" applyBorder="1" applyAlignment="1" applyProtection="1">
      <alignment vertical="center" wrapText="1" readingOrder="2"/>
    </xf>
    <xf numFmtId="0" fontId="3" fillId="2" borderId="20" xfId="0" applyFont="1" applyFill="1" applyBorder="1" applyAlignment="1" applyProtection="1">
      <alignment horizontal="center" vertical="center" wrapText="1" readingOrder="2"/>
    </xf>
    <xf numFmtId="3" fontId="8" fillId="2" borderId="20" xfId="0" applyNumberFormat="1" applyFont="1" applyFill="1" applyBorder="1" applyAlignment="1" applyProtection="1">
      <alignment horizontal="center" vertical="center" wrapText="1" readingOrder="2"/>
    </xf>
    <xf numFmtId="3" fontId="8" fillId="8" borderId="20" xfId="0" applyNumberFormat="1" applyFont="1" applyFill="1" applyBorder="1" applyAlignment="1" applyProtection="1">
      <alignment horizontal="center" vertical="center" wrapText="1" readingOrder="2"/>
    </xf>
    <xf numFmtId="3" fontId="3" fillId="2" borderId="20" xfId="0" applyNumberFormat="1" applyFont="1" applyFill="1" applyBorder="1" applyAlignment="1" applyProtection="1">
      <alignment horizontal="center" wrapText="1" readingOrder="2"/>
    </xf>
    <xf numFmtId="3" fontId="8" fillId="8" borderId="20" xfId="0" applyNumberFormat="1" applyFont="1" applyFill="1" applyBorder="1" applyAlignment="1" applyProtection="1">
      <alignment horizontal="center"/>
    </xf>
    <xf numFmtId="3" fontId="7" fillId="7" borderId="20" xfId="0" applyNumberFormat="1" applyFont="1" applyFill="1" applyBorder="1" applyAlignment="1" applyProtection="1">
      <alignment horizontal="center" wrapText="1" readingOrder="2"/>
    </xf>
    <xf numFmtId="3" fontId="9" fillId="7" borderId="20" xfId="0" applyNumberFormat="1" applyFont="1" applyFill="1" applyBorder="1" applyAlignment="1" applyProtection="1">
      <alignment horizontal="center"/>
    </xf>
    <xf numFmtId="3" fontId="7" fillId="7" borderId="60" xfId="0" applyNumberFormat="1" applyFont="1" applyFill="1" applyBorder="1" applyAlignment="1" applyProtection="1">
      <alignment horizontal="right" vertical="center" readingOrder="2"/>
    </xf>
    <xf numFmtId="3" fontId="9" fillId="9" borderId="36" xfId="0" applyNumberFormat="1" applyFont="1" applyFill="1" applyBorder="1" applyAlignment="1" applyProtection="1">
      <alignment horizontal="center" vertical="center" wrapText="1" readingOrder="2"/>
    </xf>
    <xf numFmtId="3" fontId="7" fillId="9" borderId="20" xfId="0" applyNumberFormat="1" applyFont="1" applyFill="1" applyBorder="1" applyAlignment="1" applyProtection="1">
      <alignment horizontal="center" wrapText="1" readingOrder="2"/>
    </xf>
    <xf numFmtId="3" fontId="9" fillId="9" borderId="20" xfId="0" applyNumberFormat="1" applyFont="1" applyFill="1" applyBorder="1" applyAlignment="1" applyProtection="1">
      <alignment horizontal="center"/>
    </xf>
    <xf numFmtId="3" fontId="8" fillId="2" borderId="20" xfId="1" applyNumberFormat="1" applyFont="1" applyFill="1" applyBorder="1" applyAlignment="1" applyProtection="1">
      <alignment horizontal="center" vertical="center" wrapText="1" readingOrder="2"/>
    </xf>
    <xf numFmtId="3" fontId="8" fillId="8" borderId="20" xfId="1" applyNumberFormat="1" applyFont="1" applyFill="1" applyBorder="1" applyAlignment="1" applyProtection="1">
      <alignment horizontal="center" vertical="center" wrapText="1" readingOrder="2"/>
    </xf>
    <xf numFmtId="3" fontId="8" fillId="2" borderId="60" xfId="0" applyNumberFormat="1" applyFont="1" applyFill="1" applyBorder="1" applyAlignment="1" applyProtection="1">
      <alignment horizontal="center" vertical="center" wrapText="1" readingOrder="2"/>
    </xf>
    <xf numFmtId="0" fontId="7" fillId="2" borderId="20" xfId="0" applyFont="1" applyFill="1" applyBorder="1" applyAlignment="1" applyProtection="1">
      <alignment vertical="center" wrapText="1" readingOrder="2"/>
    </xf>
    <xf numFmtId="0" fontId="7" fillId="2" borderId="20" xfId="0" applyFont="1" applyFill="1" applyBorder="1" applyAlignment="1" applyProtection="1">
      <alignment horizontal="center" vertical="center" wrapText="1" readingOrder="2"/>
    </xf>
    <xf numFmtId="3" fontId="9" fillId="2" borderId="20" xfId="0" applyNumberFormat="1" applyFont="1" applyFill="1" applyBorder="1" applyAlignment="1" applyProtection="1">
      <alignment horizontal="center" vertical="center" wrapText="1" readingOrder="2"/>
    </xf>
    <xf numFmtId="3" fontId="9" fillId="8" borderId="20" xfId="0" applyNumberFormat="1" applyFont="1" applyFill="1" applyBorder="1" applyAlignment="1" applyProtection="1">
      <alignment horizontal="center" vertical="center" wrapText="1" readingOrder="2"/>
    </xf>
    <xf numFmtId="0" fontId="21" fillId="9" borderId="17" xfId="0" applyFont="1" applyFill="1" applyBorder="1" applyAlignment="1" applyProtection="1">
      <alignment horizontal="center" wrapText="1" readingOrder="2"/>
    </xf>
    <xf numFmtId="0" fontId="21" fillId="9" borderId="58" xfId="0" applyFont="1" applyFill="1" applyBorder="1" applyAlignment="1" applyProtection="1">
      <alignment horizontal="center" wrapText="1" readingOrder="2"/>
    </xf>
    <xf numFmtId="3" fontId="8" fillId="9" borderId="16" xfId="0" applyNumberFormat="1" applyFont="1" applyFill="1" applyBorder="1" applyAlignment="1" applyProtection="1">
      <alignment horizontal="center" vertical="center" wrapText="1" readingOrder="2"/>
    </xf>
    <xf numFmtId="166" fontId="8" fillId="9" borderId="48" xfId="3" applyNumberFormat="1" applyFont="1" applyFill="1" applyBorder="1" applyAlignment="1" applyProtection="1">
      <alignment horizontal="center" vertical="center" wrapText="1" readingOrder="2"/>
    </xf>
    <xf numFmtId="3" fontId="8" fillId="9" borderId="47" xfId="0" applyNumberFormat="1" applyFont="1" applyFill="1" applyBorder="1" applyAlignment="1" applyProtection="1">
      <alignment horizontal="center" vertical="center" wrapText="1" readingOrder="2"/>
    </xf>
    <xf numFmtId="3" fontId="8" fillId="9" borderId="17" xfId="0" applyNumberFormat="1" applyFont="1" applyFill="1" applyBorder="1" applyAlignment="1" applyProtection="1">
      <alignment horizontal="center" vertical="center" wrapText="1" readingOrder="2"/>
    </xf>
    <xf numFmtId="9" fontId="8" fillId="9" borderId="21" xfId="3" applyNumberFormat="1" applyFont="1" applyFill="1" applyBorder="1" applyAlignment="1" applyProtection="1">
      <alignment horizontal="center" vertical="center" wrapText="1" readingOrder="2"/>
    </xf>
    <xf numFmtId="3" fontId="8" fillId="9" borderId="49" xfId="0" applyNumberFormat="1" applyFont="1" applyFill="1" applyBorder="1" applyAlignment="1" applyProtection="1">
      <alignment horizontal="center" vertical="center" wrapText="1" readingOrder="2"/>
    </xf>
    <xf numFmtId="9" fontId="8" fillId="9" borderId="28" xfId="3" applyNumberFormat="1" applyFont="1" applyFill="1" applyBorder="1" applyAlignment="1" applyProtection="1">
      <alignment horizontal="center" vertical="center" wrapText="1" readingOrder="2"/>
    </xf>
    <xf numFmtId="14" fontId="22" fillId="0" borderId="94" xfId="0" applyNumberFormat="1" applyFont="1" applyFill="1" applyBorder="1" applyAlignment="1" applyProtection="1">
      <alignment horizontal="center"/>
      <protection locked="0"/>
    </xf>
    <xf numFmtId="0" fontId="9" fillId="13" borderId="12" xfId="0" applyFont="1" applyFill="1" applyBorder="1" applyAlignment="1" applyProtection="1">
      <alignment horizontal="center" wrapText="1"/>
    </xf>
    <xf numFmtId="9" fontId="8" fillId="0" borderId="0" xfId="3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 vertical="top" wrapText="1"/>
    </xf>
    <xf numFmtId="0" fontId="9" fillId="0" borderId="1" xfId="0" applyFont="1" applyBorder="1" applyAlignment="1" applyProtection="1">
      <alignment horizontal="center" vertical="top" wrapText="1"/>
    </xf>
    <xf numFmtId="49" fontId="31" fillId="3" borderId="42" xfId="0" applyNumberFormat="1" applyFont="1" applyFill="1" applyBorder="1" applyAlignment="1" applyProtection="1">
      <alignment horizontal="center" vertical="center" wrapText="1"/>
      <protection locked="0"/>
    </xf>
    <xf numFmtId="49" fontId="31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42" xfId="0" applyFont="1" applyBorder="1" applyAlignment="1" applyProtection="1">
      <alignment horizontal="center" vertical="center" wrapText="1"/>
      <protection locked="0"/>
    </xf>
    <xf numFmtId="0" fontId="32" fillId="0" borderId="12" xfId="0" applyFont="1" applyBorder="1" applyAlignment="1" applyProtection="1">
      <alignment horizontal="center" vertical="center" wrapText="1"/>
      <protection locked="0"/>
    </xf>
    <xf numFmtId="0" fontId="3" fillId="2" borderId="42" xfId="0" applyFont="1" applyFill="1" applyBorder="1" applyAlignment="1" applyProtection="1">
      <alignment horizontal="center" wrapText="1"/>
    </xf>
    <xf numFmtId="0" fontId="3" fillId="2" borderId="12" xfId="0" applyFont="1" applyFill="1" applyBorder="1" applyAlignment="1" applyProtection="1">
      <alignment horizontal="center" wrapText="1"/>
    </xf>
    <xf numFmtId="49" fontId="22" fillId="0" borderId="42" xfId="0" applyNumberFormat="1" applyFont="1" applyBorder="1" applyAlignment="1" applyProtection="1">
      <alignment horizontal="center" vertical="center" wrapText="1"/>
      <protection locked="0"/>
    </xf>
    <xf numFmtId="49" fontId="22" fillId="0" borderId="12" xfId="0" applyNumberFormat="1" applyFont="1" applyBorder="1" applyAlignment="1" applyProtection="1">
      <alignment horizontal="center" vertical="center" wrapText="1"/>
      <protection locked="0"/>
    </xf>
    <xf numFmtId="0" fontId="2" fillId="2" borderId="16" xfId="0" quotePrefix="1" applyFont="1" applyFill="1" applyBorder="1" applyAlignment="1" applyProtection="1">
      <alignment horizontal="center" vertical="top" wrapText="1" readingOrder="2"/>
    </xf>
    <xf numFmtId="0" fontId="2" fillId="2" borderId="6" xfId="0" applyFont="1" applyFill="1" applyBorder="1" applyAlignment="1" applyProtection="1">
      <alignment horizontal="center" vertical="top" wrapText="1" readingOrder="2"/>
    </xf>
    <xf numFmtId="0" fontId="2" fillId="2" borderId="40" xfId="0" applyFont="1" applyFill="1" applyBorder="1" applyAlignment="1" applyProtection="1">
      <alignment horizontal="center" vertical="top" wrapText="1" readingOrder="2"/>
    </xf>
    <xf numFmtId="0" fontId="2" fillId="2" borderId="55" xfId="0" applyFont="1" applyFill="1" applyBorder="1" applyAlignment="1" applyProtection="1">
      <alignment horizontal="center" vertical="top" wrapText="1" readingOrder="2"/>
    </xf>
    <xf numFmtId="0" fontId="3" fillId="2" borderId="6" xfId="0" applyFont="1" applyFill="1" applyBorder="1" applyAlignment="1" applyProtection="1">
      <alignment horizontal="center" wrapText="1"/>
    </xf>
    <xf numFmtId="0" fontId="3" fillId="2" borderId="13" xfId="0" applyFont="1" applyFill="1" applyBorder="1" applyAlignment="1" applyProtection="1">
      <alignment horizontal="center" wrapText="1"/>
    </xf>
    <xf numFmtId="0" fontId="5" fillId="2" borderId="54" xfId="0" applyFont="1" applyFill="1" applyBorder="1" applyAlignment="1" applyProtection="1">
      <alignment horizontal="center" wrapText="1" readingOrder="2"/>
    </xf>
    <xf numFmtId="0" fontId="33" fillId="0" borderId="6" xfId="0" applyFont="1" applyFill="1" applyBorder="1" applyAlignment="1" applyProtection="1">
      <alignment horizontal="center" wrapText="1" readingOrder="2"/>
      <protection locked="0"/>
    </xf>
    <xf numFmtId="0" fontId="33" fillId="0" borderId="13" xfId="0" applyFont="1" applyFill="1" applyBorder="1" applyAlignment="1" applyProtection="1">
      <alignment horizontal="center" wrapText="1" readingOrder="2"/>
      <protection locked="0"/>
    </xf>
    <xf numFmtId="0" fontId="5" fillId="2" borderId="54" xfId="0" applyFont="1" applyFill="1" applyBorder="1" applyAlignment="1" applyProtection="1">
      <alignment horizontal="center" vertical="top" wrapText="1" readingOrder="2"/>
    </xf>
    <xf numFmtId="0" fontId="5" fillId="2" borderId="26" xfId="0" applyFont="1" applyFill="1" applyBorder="1" applyAlignment="1" applyProtection="1">
      <alignment horizontal="center" vertical="top" wrapText="1" readingOrder="2"/>
    </xf>
    <xf numFmtId="0" fontId="5" fillId="2" borderId="43" xfId="0" applyFont="1" applyFill="1" applyBorder="1" applyAlignment="1" applyProtection="1">
      <alignment horizontal="center" vertical="top" wrapText="1" readingOrder="2"/>
    </xf>
    <xf numFmtId="0" fontId="33" fillId="0" borderId="42" xfId="0" applyFont="1" applyFill="1" applyBorder="1" applyAlignment="1" applyProtection="1">
      <alignment horizontal="right"/>
      <protection locked="0"/>
    </xf>
    <xf numFmtId="0" fontId="33" fillId="0" borderId="12" xfId="0" applyFont="1" applyFill="1" applyBorder="1" applyAlignment="1" applyProtection="1">
      <alignment horizontal="right"/>
      <protection locked="0"/>
    </xf>
    <xf numFmtId="0" fontId="33" fillId="0" borderId="27" xfId="0" applyFont="1" applyFill="1" applyBorder="1" applyAlignment="1" applyProtection="1">
      <alignment horizontal="center" wrapText="1" readingOrder="2"/>
      <protection locked="0"/>
    </xf>
    <xf numFmtId="0" fontId="33" fillId="0" borderId="12" xfId="0" applyFont="1" applyFill="1" applyBorder="1" applyAlignment="1" applyProtection="1">
      <alignment horizontal="center" wrapText="1" readingOrder="2"/>
      <protection locked="0"/>
    </xf>
    <xf numFmtId="0" fontId="3" fillId="2" borderId="42" xfId="0" applyFont="1" applyFill="1" applyBorder="1" applyAlignment="1" applyProtection="1">
      <alignment horizontal="center" vertical="top" wrapText="1"/>
    </xf>
    <xf numFmtId="0" fontId="3" fillId="2" borderId="12" xfId="0" applyFont="1" applyFill="1" applyBorder="1" applyAlignment="1" applyProtection="1">
      <alignment horizontal="center" vertical="top" wrapText="1"/>
    </xf>
    <xf numFmtId="0" fontId="3" fillId="2" borderId="7" xfId="0" applyFont="1" applyFill="1" applyBorder="1" applyAlignment="1" applyProtection="1">
      <alignment horizontal="center" wrapText="1"/>
    </xf>
    <xf numFmtId="0" fontId="2" fillId="2" borderId="42" xfId="0" applyFont="1" applyFill="1" applyBorder="1" applyAlignment="1" applyProtection="1">
      <alignment horizontal="center" vertical="top" wrapText="1" readingOrder="2"/>
    </xf>
    <xf numFmtId="0" fontId="2" fillId="2" borderId="7" xfId="0" applyFont="1" applyFill="1" applyBorder="1" applyAlignment="1" applyProtection="1">
      <alignment horizontal="center" vertical="top" wrapText="1" readingOrder="2"/>
    </xf>
    <xf numFmtId="0" fontId="2" fillId="2" borderId="48" xfId="0" applyFont="1" applyFill="1" applyBorder="1" applyAlignment="1" applyProtection="1">
      <alignment horizontal="center" vertical="top" wrapText="1" readingOrder="2"/>
    </xf>
    <xf numFmtId="0" fontId="3" fillId="2" borderId="16" xfId="0" applyFont="1" applyFill="1" applyBorder="1" applyAlignment="1" applyProtection="1">
      <alignment horizontal="center" vertical="center" wrapText="1"/>
    </xf>
    <xf numFmtId="0" fontId="10" fillId="0" borderId="27" xfId="4" applyBorder="1" applyAlignment="1" applyProtection="1">
      <protection locked="0"/>
    </xf>
    <xf numFmtId="0" fontId="0" fillId="0" borderId="48" xfId="0" applyBorder="1" applyProtection="1">
      <protection locked="0"/>
    </xf>
    <xf numFmtId="1" fontId="31" fillId="3" borderId="7" xfId="0" applyNumberFormat="1" applyFont="1" applyFill="1" applyBorder="1" applyAlignment="1" applyProtection="1">
      <alignment horizontal="center" vertical="top" wrapText="1"/>
      <protection locked="0"/>
    </xf>
    <xf numFmtId="1" fontId="31" fillId="3" borderId="48" xfId="0" applyNumberFormat="1" applyFont="1" applyFill="1" applyBorder="1" applyAlignment="1" applyProtection="1">
      <alignment horizontal="center" vertical="top" wrapText="1"/>
      <protection locked="0"/>
    </xf>
    <xf numFmtId="0" fontId="3" fillId="10" borderId="27" xfId="0" applyFont="1" applyFill="1" applyBorder="1" applyAlignment="1" applyProtection="1">
      <alignment horizontal="center" vertical="top" wrapText="1"/>
    </xf>
    <xf numFmtId="0" fontId="3" fillId="10" borderId="48" xfId="0" applyFont="1" applyFill="1" applyBorder="1" applyAlignment="1" applyProtection="1">
      <alignment horizontal="center" vertical="top" wrapText="1"/>
    </xf>
    <xf numFmtId="0" fontId="10" fillId="2" borderId="43" xfId="4" applyFill="1" applyBorder="1" applyAlignment="1" applyProtection="1">
      <alignment horizontal="right"/>
    </xf>
    <xf numFmtId="0" fontId="10" fillId="2" borderId="54" xfId="4" applyFill="1" applyBorder="1" applyAlignment="1" applyProtection="1">
      <alignment horizontal="right"/>
    </xf>
    <xf numFmtId="0" fontId="8" fillId="2" borderId="1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/>
    </xf>
    <xf numFmtId="0" fontId="3" fillId="2" borderId="53" xfId="0" applyFont="1" applyFill="1" applyBorder="1" applyAlignment="1" applyProtection="1">
      <alignment horizontal="left"/>
    </xf>
    <xf numFmtId="0" fontId="28" fillId="17" borderId="0" xfId="0" applyFont="1" applyFill="1" applyBorder="1" applyAlignment="1" applyProtection="1">
      <alignment horizontal="left" readingOrder="2"/>
    </xf>
    <xf numFmtId="0" fontId="45" fillId="8" borderId="90" xfId="0" applyFont="1" applyFill="1" applyBorder="1" applyAlignment="1" applyProtection="1">
      <alignment horizontal="center" readingOrder="2"/>
      <protection locked="0"/>
    </xf>
    <xf numFmtId="0" fontId="45" fillId="8" borderId="91" xfId="0" applyFont="1" applyFill="1" applyBorder="1" applyAlignment="1" applyProtection="1">
      <alignment horizontal="center" readingOrder="2"/>
      <protection locked="0"/>
    </xf>
    <xf numFmtId="0" fontId="9" fillId="0" borderId="0" xfId="0" applyFont="1" applyFill="1" applyBorder="1" applyAlignment="1" applyProtection="1">
      <alignment horizontal="right"/>
    </xf>
    <xf numFmtId="0" fontId="3" fillId="2" borderId="24" xfId="0" applyFont="1" applyFill="1" applyBorder="1" applyAlignment="1" applyProtection="1">
      <alignment horizontal="left" vertical="center" wrapText="1" readingOrder="2"/>
    </xf>
    <xf numFmtId="0" fontId="3" fillId="2" borderId="18" xfId="0" applyFont="1" applyFill="1" applyBorder="1" applyAlignment="1" applyProtection="1">
      <alignment horizontal="left" vertical="center" wrapText="1" readingOrder="2"/>
    </xf>
    <xf numFmtId="0" fontId="3" fillId="2" borderId="59" xfId="0" applyFont="1" applyFill="1" applyBorder="1" applyAlignment="1" applyProtection="1">
      <alignment horizontal="left" vertical="center" wrapText="1" readingOrder="2"/>
    </xf>
    <xf numFmtId="0" fontId="3" fillId="2" borderId="42" xfId="0" applyFont="1" applyFill="1" applyBorder="1" applyAlignment="1" applyProtection="1">
      <alignment horizontal="left" vertical="center" wrapText="1" readingOrder="2"/>
    </xf>
    <xf numFmtId="0" fontId="3" fillId="2" borderId="7" xfId="0" applyFont="1" applyFill="1" applyBorder="1" applyAlignment="1" applyProtection="1">
      <alignment horizontal="left" vertical="center" wrapText="1" readingOrder="2"/>
    </xf>
    <xf numFmtId="3" fontId="8" fillId="0" borderId="27" xfId="0" applyNumberFormat="1" applyFont="1" applyBorder="1" applyAlignment="1" applyProtection="1">
      <alignment horizontal="center"/>
    </xf>
    <xf numFmtId="3" fontId="8" fillId="0" borderId="12" xfId="0" applyNumberFormat="1" applyFont="1" applyBorder="1" applyAlignment="1" applyProtection="1">
      <alignment horizontal="center"/>
    </xf>
    <xf numFmtId="0" fontId="3" fillId="2" borderId="36" xfId="0" applyFont="1" applyFill="1" applyBorder="1" applyAlignment="1" applyProtection="1">
      <alignment horizontal="left" vertical="center" wrapText="1" readingOrder="2"/>
    </xf>
    <xf numFmtId="0" fontId="3" fillId="2" borderId="20" xfId="0" applyFont="1" applyFill="1" applyBorder="1" applyAlignment="1" applyProtection="1">
      <alignment horizontal="left" vertical="center" wrapText="1" readingOrder="2"/>
    </xf>
    <xf numFmtId="0" fontId="3" fillId="2" borderId="60" xfId="0" applyFont="1" applyFill="1" applyBorder="1" applyAlignment="1" applyProtection="1">
      <alignment horizontal="left" vertical="center" wrapText="1" readingOrder="2"/>
    </xf>
    <xf numFmtId="9" fontId="8" fillId="0" borderId="6" xfId="3" applyFont="1" applyBorder="1" applyAlignment="1" applyProtection="1">
      <alignment horizontal="center"/>
    </xf>
    <xf numFmtId="0" fontId="30" fillId="0" borderId="35" xfId="4" applyFont="1" applyBorder="1" applyAlignment="1" applyProtection="1">
      <alignment horizontal="center" wrapText="1"/>
    </xf>
    <xf numFmtId="0" fontId="30" fillId="0" borderId="53" xfId="4" applyFont="1" applyBorder="1" applyAlignment="1" applyProtection="1">
      <alignment horizontal="center" wrapText="1"/>
    </xf>
    <xf numFmtId="3" fontId="9" fillId="13" borderId="6" xfId="0" applyNumberFormat="1" applyFont="1" applyFill="1" applyBorder="1" applyAlignment="1" applyProtection="1">
      <alignment horizontal="center" wrapText="1"/>
    </xf>
    <xf numFmtId="9" fontId="3" fillId="0" borderId="6" xfId="3" applyFont="1" applyBorder="1" applyAlignment="1" applyProtection="1">
      <alignment horizontal="center"/>
    </xf>
    <xf numFmtId="0" fontId="9" fillId="13" borderId="27" xfId="0" applyFont="1" applyFill="1" applyBorder="1" applyAlignment="1" applyProtection="1">
      <alignment horizontal="center" wrapText="1"/>
    </xf>
    <xf numFmtId="0" fontId="9" fillId="13" borderId="12" xfId="0" applyFont="1" applyFill="1" applyBorder="1" applyAlignment="1" applyProtection="1">
      <alignment horizontal="center" wrapText="1"/>
    </xf>
    <xf numFmtId="0" fontId="16" fillId="2" borderId="34" xfId="0" applyFont="1" applyFill="1" applyBorder="1" applyAlignment="1" applyProtection="1">
      <alignment horizontal="right"/>
    </xf>
    <xf numFmtId="0" fontId="16" fillId="2" borderId="9" xfId="0" applyFont="1" applyFill="1" applyBorder="1" applyAlignment="1" applyProtection="1">
      <alignment horizontal="right"/>
    </xf>
    <xf numFmtId="0" fontId="24" fillId="9" borderId="30" xfId="0" applyFont="1" applyFill="1" applyBorder="1" applyAlignment="1" applyProtection="1">
      <alignment horizontal="center" wrapText="1"/>
    </xf>
    <xf numFmtId="0" fontId="24" fillId="9" borderId="31" xfId="0" applyFont="1" applyFill="1" applyBorder="1" applyAlignment="1" applyProtection="1">
      <alignment horizontal="center" wrapText="1"/>
    </xf>
    <xf numFmtId="14" fontId="16" fillId="2" borderId="9" xfId="0" applyNumberFormat="1" applyFont="1" applyFill="1" applyBorder="1" applyAlignment="1" applyProtection="1">
      <alignment horizontal="center" wrapText="1"/>
    </xf>
    <xf numFmtId="0" fontId="3" fillId="2" borderId="56" xfId="0" quotePrefix="1" applyFont="1" applyFill="1" applyBorder="1" applyAlignment="1" applyProtection="1">
      <alignment horizontal="center" wrapText="1" readingOrder="2"/>
    </xf>
    <xf numFmtId="0" fontId="3" fillId="2" borderId="57" xfId="0" applyFont="1" applyFill="1" applyBorder="1" applyAlignment="1" applyProtection="1">
      <alignment horizontal="center" wrapText="1" readingOrder="2"/>
    </xf>
    <xf numFmtId="0" fontId="3" fillId="2" borderId="58" xfId="0" applyFont="1" applyFill="1" applyBorder="1" applyAlignment="1" applyProtection="1">
      <alignment horizontal="center" wrapText="1" readingOrder="2"/>
    </xf>
    <xf numFmtId="0" fontId="16" fillId="9" borderId="51" xfId="0" applyFont="1" applyFill="1" applyBorder="1" applyAlignment="1" applyProtection="1">
      <alignment horizontal="center"/>
    </xf>
    <xf numFmtId="0" fontId="16" fillId="9" borderId="15" xfId="0" applyFont="1" applyFill="1" applyBorder="1" applyAlignment="1" applyProtection="1">
      <alignment horizontal="center"/>
    </xf>
    <xf numFmtId="0" fontId="27" fillId="9" borderId="34" xfId="0" quotePrefix="1" applyFont="1" applyFill="1" applyBorder="1" applyAlignment="1" applyProtection="1">
      <alignment horizontal="center" wrapText="1" readingOrder="2"/>
    </xf>
    <xf numFmtId="0" fontId="27" fillId="9" borderId="9" xfId="0" quotePrefix="1" applyFont="1" applyFill="1" applyBorder="1" applyAlignment="1" applyProtection="1">
      <alignment horizontal="center" wrapText="1" readingOrder="2"/>
    </xf>
    <xf numFmtId="0" fontId="24" fillId="7" borderId="30" xfId="0" applyFont="1" applyFill="1" applyBorder="1" applyAlignment="1" applyProtection="1">
      <alignment horizontal="center" wrapText="1"/>
    </xf>
    <xf numFmtId="0" fontId="24" fillId="7" borderId="31" xfId="0" applyFont="1" applyFill="1" applyBorder="1" applyAlignment="1" applyProtection="1">
      <alignment horizontal="center" wrapText="1"/>
    </xf>
    <xf numFmtId="0" fontId="27" fillId="7" borderId="34" xfId="0" quotePrefix="1" applyFont="1" applyFill="1" applyBorder="1" applyAlignment="1" applyProtection="1">
      <alignment horizontal="center" wrapText="1" readingOrder="2"/>
    </xf>
    <xf numFmtId="0" fontId="27" fillId="7" borderId="9" xfId="0" quotePrefix="1" applyFont="1" applyFill="1" applyBorder="1" applyAlignment="1" applyProtection="1">
      <alignment horizontal="center" wrapText="1" readingOrder="2"/>
    </xf>
    <xf numFmtId="0" fontId="27" fillId="7" borderId="39" xfId="0" quotePrefix="1" applyFont="1" applyFill="1" applyBorder="1" applyAlignment="1" applyProtection="1">
      <alignment horizontal="center" wrapText="1" readingOrder="2"/>
    </xf>
    <xf numFmtId="0" fontId="16" fillId="7" borderId="34" xfId="0" applyFont="1" applyFill="1" applyBorder="1" applyAlignment="1" applyProtection="1">
      <alignment horizontal="center"/>
    </xf>
    <xf numFmtId="0" fontId="16" fillId="7" borderId="9" xfId="0" applyFont="1" applyFill="1" applyBorder="1" applyAlignment="1" applyProtection="1">
      <alignment horizontal="center"/>
    </xf>
    <xf numFmtId="0" fontId="16" fillId="7" borderId="39" xfId="0" applyFont="1" applyFill="1" applyBorder="1" applyAlignment="1" applyProtection="1">
      <alignment horizontal="center"/>
    </xf>
    <xf numFmtId="0" fontId="3" fillId="2" borderId="56" xfId="0" applyFont="1" applyFill="1" applyBorder="1" applyAlignment="1" applyProtection="1">
      <alignment horizontal="center" wrapText="1" readingOrder="2"/>
    </xf>
    <xf numFmtId="0" fontId="3" fillId="2" borderId="56" xfId="0" applyFont="1" applyFill="1" applyBorder="1" applyAlignment="1">
      <alignment horizontal="center"/>
    </xf>
    <xf numFmtId="0" fontId="3" fillId="2" borderId="57" xfId="0" applyFont="1" applyFill="1" applyBorder="1" applyAlignment="1">
      <alignment horizontal="center"/>
    </xf>
    <xf numFmtId="1" fontId="16" fillId="2" borderId="15" xfId="0" applyNumberFormat="1" applyFont="1" applyFill="1" applyBorder="1" applyAlignment="1" applyProtection="1">
      <alignment horizontal="left" wrapText="1"/>
    </xf>
    <xf numFmtId="0" fontId="16" fillId="2" borderId="15" xfId="0" applyFont="1" applyFill="1" applyBorder="1" applyAlignment="1" applyProtection="1">
      <alignment horizontal="left" wrapText="1"/>
    </xf>
    <xf numFmtId="1" fontId="16" fillId="2" borderId="15" xfId="0" applyNumberFormat="1" applyFont="1" applyFill="1" applyBorder="1" applyAlignment="1" applyProtection="1">
      <alignment horizontal="right" wrapText="1"/>
    </xf>
    <xf numFmtId="0" fontId="0" fillId="0" borderId="15" xfId="0" applyBorder="1" applyProtection="1"/>
    <xf numFmtId="0" fontId="16" fillId="7" borderId="34" xfId="0" quotePrefix="1" applyFont="1" applyFill="1" applyBorder="1" applyAlignment="1" applyProtection="1">
      <alignment horizontal="center" vertical="top" wrapText="1" readingOrder="2"/>
    </xf>
    <xf numFmtId="0" fontId="16" fillId="7" borderId="39" xfId="0" quotePrefix="1" applyFont="1" applyFill="1" applyBorder="1" applyAlignment="1" applyProtection="1">
      <alignment horizontal="center" vertical="top" wrapText="1" readingOrder="2"/>
    </xf>
    <xf numFmtId="0" fontId="0" fillId="0" borderId="53" xfId="0" quotePrefix="1" applyBorder="1" applyAlignment="1" applyProtection="1">
      <alignment horizontal="center"/>
    </xf>
    <xf numFmtId="0" fontId="16" fillId="2" borderId="27" xfId="0" applyFont="1" applyFill="1" applyBorder="1" applyAlignment="1" applyProtection="1">
      <alignment horizontal="right" vertical="top" wrapText="1" readingOrder="2"/>
    </xf>
    <xf numFmtId="0" fontId="16" fillId="2" borderId="7" xfId="0" applyFont="1" applyFill="1" applyBorder="1" applyAlignment="1" applyProtection="1">
      <alignment horizontal="right" vertical="top" wrapText="1" readingOrder="2"/>
    </xf>
    <xf numFmtId="0" fontId="16" fillId="9" borderId="49" xfId="0" quotePrefix="1" applyFont="1" applyFill="1" applyBorder="1" applyAlignment="1" applyProtection="1">
      <alignment horizontal="left" vertical="top" readingOrder="2"/>
    </xf>
    <xf numFmtId="0" fontId="16" fillId="9" borderId="52" xfId="0" quotePrefix="1" applyFont="1" applyFill="1" applyBorder="1" applyAlignment="1" applyProtection="1">
      <alignment horizontal="left" vertical="top" readingOrder="2"/>
    </xf>
    <xf numFmtId="0" fontId="19" fillId="14" borderId="50" xfId="0" applyFont="1" applyFill="1" applyBorder="1" applyAlignment="1" applyProtection="1">
      <alignment horizontal="center" vertical="top" wrapText="1" readingOrder="2"/>
    </xf>
    <xf numFmtId="0" fontId="19" fillId="14" borderId="9" xfId="0" applyFont="1" applyFill="1" applyBorder="1" applyAlignment="1" applyProtection="1">
      <alignment horizontal="center" vertical="top" wrapText="1" readingOrder="2"/>
    </xf>
    <xf numFmtId="0" fontId="19" fillId="14" borderId="39" xfId="0" applyFont="1" applyFill="1" applyBorder="1" applyAlignment="1" applyProtection="1">
      <alignment horizontal="center" vertical="top" wrapText="1" readingOrder="2"/>
    </xf>
    <xf numFmtId="0" fontId="19" fillId="16" borderId="34" xfId="0" applyFont="1" applyFill="1" applyBorder="1" applyAlignment="1" applyProtection="1">
      <alignment horizontal="center" vertical="top" wrapText="1" readingOrder="2"/>
    </xf>
    <xf numFmtId="0" fontId="19" fillId="16" borderId="9" xfId="0" applyFont="1" applyFill="1" applyBorder="1" applyAlignment="1" applyProtection="1">
      <alignment horizontal="center" vertical="top" wrapText="1" readingOrder="2"/>
    </xf>
    <xf numFmtId="0" fontId="19" fillId="16" borderId="39" xfId="0" applyFont="1" applyFill="1" applyBorder="1" applyAlignment="1" applyProtection="1">
      <alignment horizontal="center" vertical="top" wrapText="1" readingOrder="2"/>
    </xf>
    <xf numFmtId="0" fontId="19" fillId="14" borderId="61" xfId="0" applyFont="1" applyFill="1" applyBorder="1" applyAlignment="1" applyProtection="1">
      <alignment horizontal="center" vertical="top" wrapText="1" readingOrder="2"/>
    </xf>
    <xf numFmtId="0" fontId="19" fillId="14" borderId="0" xfId="0" applyFont="1" applyFill="1" applyBorder="1" applyAlignment="1" applyProtection="1">
      <alignment horizontal="center" vertical="top" wrapText="1" readingOrder="2"/>
    </xf>
    <xf numFmtId="0" fontId="19" fillId="14" borderId="2" xfId="0" applyFont="1" applyFill="1" applyBorder="1" applyAlignment="1" applyProtection="1">
      <alignment horizontal="center" vertical="top" wrapText="1" readingOrder="2"/>
    </xf>
    <xf numFmtId="0" fontId="37" fillId="0" borderId="53" xfId="0" applyFont="1" applyBorder="1" applyAlignment="1" applyProtection="1">
      <alignment horizontal="center"/>
    </xf>
    <xf numFmtId="0" fontId="0" fillId="0" borderId="53" xfId="0" applyBorder="1" applyAlignment="1" applyProtection="1">
      <alignment horizontal="center"/>
    </xf>
    <xf numFmtId="0" fontId="16" fillId="9" borderId="62" xfId="0" quotePrefix="1" applyFont="1" applyFill="1" applyBorder="1" applyAlignment="1" applyProtection="1">
      <alignment horizontal="left" vertical="top" readingOrder="2"/>
    </xf>
    <xf numFmtId="0" fontId="16" fillId="2" borderId="27" xfId="0" quotePrefix="1" applyFont="1" applyFill="1" applyBorder="1" applyAlignment="1" applyProtection="1">
      <alignment horizontal="right" vertical="top" wrapText="1" readingOrder="2"/>
    </xf>
    <xf numFmtId="0" fontId="16" fillId="9" borderId="34" xfId="0" quotePrefix="1" applyFont="1" applyFill="1" applyBorder="1" applyAlignment="1" applyProtection="1">
      <alignment horizontal="center" vertical="top" wrapText="1" readingOrder="2"/>
    </xf>
    <xf numFmtId="0" fontId="16" fillId="9" borderId="39" xfId="0" quotePrefix="1" applyFont="1" applyFill="1" applyBorder="1" applyAlignment="1" applyProtection="1">
      <alignment horizontal="center" vertical="top" wrapText="1" readingOrder="2"/>
    </xf>
    <xf numFmtId="0" fontId="47" fillId="2" borderId="27" xfId="0" quotePrefix="1" applyFont="1" applyFill="1" applyBorder="1" applyAlignment="1" applyProtection="1">
      <alignment horizontal="right" wrapText="1" readingOrder="2"/>
    </xf>
    <xf numFmtId="0" fontId="47" fillId="2" borderId="7" xfId="0" applyFont="1" applyFill="1" applyBorder="1" applyAlignment="1" applyProtection="1">
      <alignment horizontal="right" wrapText="1" readingOrder="2"/>
    </xf>
    <xf numFmtId="0" fontId="47" fillId="2" borderId="12" xfId="0" applyFont="1" applyFill="1" applyBorder="1" applyAlignment="1" applyProtection="1">
      <alignment horizontal="right" wrapText="1" readingOrder="2"/>
    </xf>
    <xf numFmtId="0" fontId="16" fillId="2" borderId="27" xfId="0" applyFont="1" applyFill="1" applyBorder="1" applyAlignment="1" applyProtection="1">
      <alignment horizontal="right" wrapText="1" readingOrder="2"/>
    </xf>
    <xf numFmtId="0" fontId="0" fillId="0" borderId="7" xfId="0" applyBorder="1"/>
    <xf numFmtId="0" fontId="0" fillId="0" borderId="0" xfId="0" quotePrefix="1" applyProtection="1"/>
    <xf numFmtId="0" fontId="16" fillId="7" borderId="9" xfId="0" applyFont="1" applyFill="1" applyBorder="1" applyAlignment="1" applyProtection="1">
      <alignment horizontal="center" wrapText="1" readingOrder="2"/>
    </xf>
    <xf numFmtId="0" fontId="16" fillId="7" borderId="39" xfId="0" applyFont="1" applyFill="1" applyBorder="1" applyAlignment="1" applyProtection="1">
      <alignment horizontal="center" wrapText="1" readingOrder="2"/>
    </xf>
    <xf numFmtId="0" fontId="16" fillId="9" borderId="34" xfId="0" applyFont="1" applyFill="1" applyBorder="1" applyAlignment="1" applyProtection="1">
      <alignment horizontal="center" wrapText="1" readingOrder="2"/>
    </xf>
    <xf numFmtId="0" fontId="16" fillId="9" borderId="9" xfId="0" applyFont="1" applyFill="1" applyBorder="1" applyAlignment="1" applyProtection="1">
      <alignment horizontal="center" wrapText="1" readingOrder="2"/>
    </xf>
    <xf numFmtId="0" fontId="16" fillId="9" borderId="39" xfId="0" applyFont="1" applyFill="1" applyBorder="1" applyAlignment="1" applyProtection="1">
      <alignment horizontal="center" wrapText="1" readingOrder="2"/>
    </xf>
    <xf numFmtId="0" fontId="19" fillId="16" borderId="51" xfId="0" applyFont="1" applyFill="1" applyBorder="1" applyAlignment="1" applyProtection="1">
      <alignment horizontal="center" vertical="top" wrapText="1" readingOrder="2"/>
    </xf>
    <xf numFmtId="0" fontId="19" fillId="16" borderId="92" xfId="0" applyFont="1" applyFill="1" applyBorder="1" applyAlignment="1" applyProtection="1">
      <alignment horizontal="center" vertical="top" wrapText="1" readingOrder="2"/>
    </xf>
    <xf numFmtId="0" fontId="16" fillId="9" borderId="51" xfId="0" quotePrefix="1" applyFont="1" applyFill="1" applyBorder="1" applyAlignment="1" applyProtection="1">
      <alignment horizontal="center" vertical="top" wrapText="1" readingOrder="2"/>
    </xf>
    <xf numFmtId="0" fontId="16" fillId="9" borderId="92" xfId="0" quotePrefix="1" applyFont="1" applyFill="1" applyBorder="1" applyAlignment="1" applyProtection="1">
      <alignment horizontal="center" vertical="top" wrapText="1" readingOrder="2"/>
    </xf>
    <xf numFmtId="0" fontId="44" fillId="2" borderId="64" xfId="0" applyFont="1" applyFill="1" applyBorder="1" applyAlignment="1" applyProtection="1">
      <alignment horizontal="center" vertical="top" wrapText="1" readingOrder="2"/>
    </xf>
    <xf numFmtId="0" fontId="44" fillId="2" borderId="65" xfId="0" applyFont="1" applyFill="1" applyBorder="1" applyAlignment="1" applyProtection="1">
      <alignment horizontal="center" vertical="top" wrapText="1" readingOrder="2"/>
    </xf>
    <xf numFmtId="0" fontId="44" fillId="2" borderId="63" xfId="0" applyFont="1" applyFill="1" applyBorder="1" applyAlignment="1" applyProtection="1">
      <alignment horizontal="center" vertical="top" wrapText="1" readingOrder="2"/>
    </xf>
    <xf numFmtId="0" fontId="21" fillId="2" borderId="65" xfId="0" applyFont="1" applyFill="1" applyBorder="1" applyAlignment="1" applyProtection="1">
      <alignment horizontal="center" vertical="top" wrapText="1" readingOrder="2"/>
    </xf>
    <xf numFmtId="0" fontId="0" fillId="0" borderId="66" xfId="0" applyBorder="1"/>
    <xf numFmtId="3" fontId="8" fillId="0" borderId="0" xfId="0" applyNumberFormat="1" applyFont="1" applyBorder="1" applyAlignment="1" applyProtection="1">
      <alignment horizontal="center"/>
    </xf>
    <xf numFmtId="0" fontId="42" fillId="21" borderId="54" xfId="4" applyFont="1" applyFill="1" applyBorder="1" applyAlignment="1" applyProtection="1">
      <alignment horizontal="center"/>
    </xf>
    <xf numFmtId="0" fontId="42" fillId="21" borderId="26" xfId="4" applyFont="1" applyFill="1" applyBorder="1" applyAlignment="1" applyProtection="1">
      <alignment horizontal="center"/>
    </xf>
  </cellXfs>
  <cellStyles count="6">
    <cellStyle name="Comma" xfId="1" builtinId="3"/>
    <cellStyle name="Normal" xfId="0" builtinId="0"/>
    <cellStyle name="Normal_גיליון1" xfId="2"/>
    <cellStyle name="Percent" xfId="3" builtinId="5"/>
    <cellStyle name="היפר-קישור" xfId="4" builtinId="8"/>
    <cellStyle name="פסיק [0]" xfId="5" builtinId="6"/>
  </cellStyles>
  <dxfs count="97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fgColor theme="0"/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 patternType="gray0625"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ill>
        <patternFill>
          <bgColor theme="9" tint="0.39994506668294322"/>
        </patternFill>
      </fill>
    </dxf>
    <dxf>
      <font>
        <color theme="0" tint="-4.9989318521683403E-2"/>
      </font>
    </dxf>
    <dxf>
      <font>
        <color theme="0" tint="-4.9989318521683403E-2"/>
      </font>
    </dxf>
    <dxf>
      <fill>
        <patternFill>
          <bgColor indexed="43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27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1"/>
        </patternFill>
      </fill>
    </dxf>
    <dxf>
      <fill>
        <patternFill>
          <bgColor indexed="35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itan.r/Downloads/&#1489;&#1511;&#1513;&#1492;.&#1514;&#1511;&#1510;&#1497;&#1489;.&#1495;&#1502;&#1502;&#1493;&#151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ראשי-פרטים כלליים וריכוז הוצאות"/>
      <sheetName val="כח אדם - שכר"/>
      <sheetName val="חומרים "/>
      <sheetName val="קבלני משנה "/>
      <sheetName val="ציוד"/>
      <sheetName val="שונות"/>
      <sheetName val="שיווק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nnovationisrael.org.il/" TargetMode="External"/><Relationship Id="rId2" Type="http://schemas.openxmlformats.org/officeDocument/2006/relationships/hyperlink" Target="http://www.moital.gov.il/NR/exeres/270E524E-FDC2-4E8B-8244-48ABAD6FC620.htm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1">
    <tabColor indexed="42"/>
    <pageSetUpPr fitToPage="1"/>
  </sheetPr>
  <dimension ref="A1:P386"/>
  <sheetViews>
    <sheetView showGridLines="0" rightToLeft="1" zoomScaleNormal="100" workbookViewId="0">
      <pane ySplit="4" topLeftCell="A5" activePane="bottomLeft" state="frozen"/>
      <selection pane="bottomLeft" activeCell="A14" sqref="A14:B14"/>
    </sheetView>
  </sheetViews>
  <sheetFormatPr defaultColWidth="9.140625" defaultRowHeight="12.75" outlineLevelCol="1" x14ac:dyDescent="0.2"/>
  <cols>
    <col min="1" max="1" width="11.85546875" style="15" customWidth="1"/>
    <col min="2" max="2" width="17.85546875" style="15" bestFit="1" customWidth="1"/>
    <col min="3" max="3" width="19.140625" style="15" customWidth="1"/>
    <col min="4" max="4" width="16.42578125" style="15" customWidth="1"/>
    <col min="5" max="5" width="18.7109375" style="15" customWidth="1"/>
    <col min="6" max="6" width="21.7109375" style="15" customWidth="1"/>
    <col min="7" max="8" width="17" style="36" hidden="1" customWidth="1" outlineLevel="1"/>
    <col min="9" max="9" width="7.28515625" style="181" customWidth="1" collapsed="1"/>
    <col min="10" max="10" width="17" style="181" hidden="1" customWidth="1" outlineLevel="1"/>
    <col min="11" max="11" width="17" style="36" hidden="1" customWidth="1" outlineLevel="1"/>
    <col min="12" max="12" width="6.85546875" style="38" customWidth="1" collapsed="1"/>
    <col min="13" max="13" width="9.140625" style="38"/>
    <col min="14" max="16384" width="9.140625" style="15"/>
  </cols>
  <sheetData>
    <row r="1" spans="1:16" ht="43.5" customHeight="1" x14ac:dyDescent="0.3">
      <c r="A1" s="241" t="s">
        <v>22</v>
      </c>
      <c r="B1" s="244" t="s">
        <v>129</v>
      </c>
      <c r="C1" s="242" t="s">
        <v>45</v>
      </c>
      <c r="D1" s="291">
        <v>43539</v>
      </c>
      <c r="E1" s="243" t="s">
        <v>141</v>
      </c>
      <c r="F1" s="243" t="s">
        <v>244</v>
      </c>
      <c r="G1" s="243"/>
      <c r="H1" s="243"/>
      <c r="I1" s="182" t="s">
        <v>72</v>
      </c>
      <c r="L1" s="183" t="s">
        <v>221</v>
      </c>
      <c r="O1" s="17"/>
      <c r="P1" s="17"/>
    </row>
    <row r="2" spans="1:16" s="17" customFormat="1" ht="17.100000000000001" customHeight="1" x14ac:dyDescent="0.3">
      <c r="A2" s="542" t="s">
        <v>220</v>
      </c>
      <c r="B2" s="543"/>
      <c r="C2" s="543"/>
      <c r="D2" s="437"/>
      <c r="E2" s="638" t="s">
        <v>212</v>
      </c>
      <c r="F2" s="639"/>
      <c r="G2" s="255"/>
      <c r="I2" s="31"/>
      <c r="J2" s="31"/>
      <c r="L2" s="31"/>
      <c r="M2" s="31"/>
    </row>
    <row r="3" spans="1:16" s="17" customFormat="1" ht="7.5" customHeight="1" thickBot="1" x14ac:dyDescent="0.3">
      <c r="A3" s="1"/>
      <c r="B3" s="16"/>
      <c r="C3" s="2"/>
      <c r="D3" s="3"/>
      <c r="E3" s="4"/>
      <c r="F3" s="5"/>
      <c r="G3" s="255"/>
      <c r="I3" s="31"/>
      <c r="J3" s="31"/>
      <c r="L3" s="31"/>
      <c r="M3" s="31"/>
    </row>
    <row r="4" spans="1:16" ht="24.75" customHeight="1" thickTop="1" thickBot="1" x14ac:dyDescent="0.45">
      <c r="A4" s="18"/>
      <c r="B4" s="547" t="s">
        <v>178</v>
      </c>
      <c r="C4" s="547"/>
      <c r="D4" s="547"/>
      <c r="E4" s="548" t="s">
        <v>257</v>
      </c>
      <c r="F4" s="549"/>
      <c r="G4" s="181"/>
      <c r="I4" s="436"/>
      <c r="L4" s="31"/>
      <c r="M4" s="17"/>
      <c r="N4" s="17"/>
    </row>
    <row r="5" spans="1:16" ht="25.5" customHeight="1" thickTop="1" thickBot="1" x14ac:dyDescent="0.3">
      <c r="A5" s="67"/>
      <c r="B5" s="30"/>
      <c r="C5" s="19"/>
      <c r="D5" s="19"/>
      <c r="E5" s="20" t="s">
        <v>21</v>
      </c>
      <c r="F5" s="500"/>
      <c r="G5" s="254"/>
      <c r="I5" s="184"/>
      <c r="L5" s="31"/>
    </row>
    <row r="6" spans="1:16" ht="18.75" customHeight="1" x14ac:dyDescent="0.25">
      <c r="A6" s="544" t="s">
        <v>41</v>
      </c>
      <c r="B6" s="545"/>
      <c r="C6" s="545"/>
      <c r="D6" s="545"/>
      <c r="E6" s="20"/>
      <c r="F6" s="21"/>
      <c r="G6" s="254"/>
      <c r="I6" s="184"/>
      <c r="L6" s="31"/>
    </row>
    <row r="7" spans="1:16" ht="22.7" customHeight="1" x14ac:dyDescent="0.25">
      <c r="A7" s="18"/>
      <c r="B7" s="19"/>
      <c r="C7" s="546"/>
      <c r="D7" s="546"/>
      <c r="E7" s="546"/>
      <c r="F7" s="21"/>
      <c r="G7" s="181"/>
      <c r="H7" s="181"/>
      <c r="I7" s="184" t="s">
        <v>10</v>
      </c>
      <c r="L7" s="31"/>
    </row>
    <row r="8" spans="1:16" ht="21.2" customHeight="1" x14ac:dyDescent="0.2">
      <c r="A8" s="532" t="s">
        <v>42</v>
      </c>
      <c r="B8" s="533"/>
      <c r="C8" s="533"/>
      <c r="D8" s="533"/>
      <c r="E8" s="533"/>
      <c r="F8" s="534"/>
      <c r="G8" s="254"/>
      <c r="I8" s="184"/>
      <c r="L8" s="31"/>
    </row>
    <row r="9" spans="1:16" ht="31.5" x14ac:dyDescent="0.2">
      <c r="A9" s="529" t="s">
        <v>11</v>
      </c>
      <c r="B9" s="530"/>
      <c r="C9" s="94" t="s">
        <v>222</v>
      </c>
      <c r="D9" s="94" t="s">
        <v>179</v>
      </c>
      <c r="E9" s="540" t="s">
        <v>44</v>
      </c>
      <c r="F9" s="541"/>
      <c r="G9" s="254"/>
      <c r="I9" s="184"/>
      <c r="L9" s="31"/>
    </row>
    <row r="10" spans="1:16" ht="39.6" customHeight="1" x14ac:dyDescent="0.2">
      <c r="A10" s="505"/>
      <c r="B10" s="506"/>
      <c r="C10" s="349"/>
      <c r="D10" s="281"/>
      <c r="E10" s="538"/>
      <c r="F10" s="539"/>
      <c r="G10" s="254"/>
      <c r="H10" s="184"/>
      <c r="I10" s="184"/>
      <c r="K10" s="184"/>
      <c r="L10" s="31"/>
    </row>
    <row r="11" spans="1:16" s="61" customFormat="1" ht="30.2" customHeight="1" x14ac:dyDescent="0.25">
      <c r="A11" s="535" t="s">
        <v>84</v>
      </c>
      <c r="B11" s="97" t="s">
        <v>86</v>
      </c>
      <c r="C11" s="60" t="s">
        <v>85</v>
      </c>
      <c r="D11" s="239" t="s">
        <v>128</v>
      </c>
      <c r="E11" s="352" t="s">
        <v>140</v>
      </c>
      <c r="F11" s="96" t="s">
        <v>181</v>
      </c>
      <c r="G11" s="433" t="s">
        <v>124</v>
      </c>
      <c r="H11" s="185"/>
      <c r="I11" s="185"/>
      <c r="J11" s="252" t="s">
        <v>121</v>
      </c>
      <c r="K11" s="185"/>
      <c r="L11" s="186"/>
      <c r="M11" s="187"/>
    </row>
    <row r="12" spans="1:16" s="24" customFormat="1" ht="20.25" customHeight="1" x14ac:dyDescent="0.2">
      <c r="A12" s="535"/>
      <c r="B12" s="281"/>
      <c r="C12" s="282"/>
      <c r="D12" s="240">
        <f>DATEDIF($B$12,$C$12+1,"m")</f>
        <v>0</v>
      </c>
      <c r="E12" s="349"/>
      <c r="F12" s="353"/>
      <c r="G12" s="257"/>
      <c r="H12" s="188"/>
      <c r="I12" s="188"/>
      <c r="J12" s="237"/>
      <c r="K12" s="188"/>
      <c r="L12" s="189"/>
      <c r="M12" s="190"/>
    </row>
    <row r="13" spans="1:16" s="61" customFormat="1" ht="20.25" customHeight="1" x14ac:dyDescent="0.25">
      <c r="A13" s="509" t="s">
        <v>27</v>
      </c>
      <c r="B13" s="531"/>
      <c r="C13" s="60" t="s">
        <v>9</v>
      </c>
      <c r="D13" s="95" t="s">
        <v>8</v>
      </c>
      <c r="E13" s="95" t="s">
        <v>7</v>
      </c>
      <c r="F13" s="96" t="s">
        <v>47</v>
      </c>
      <c r="G13" s="256" t="s">
        <v>122</v>
      </c>
      <c r="H13" s="185"/>
      <c r="I13" s="185"/>
      <c r="J13" s="252" t="s">
        <v>122</v>
      </c>
      <c r="K13" s="185"/>
      <c r="L13" s="186"/>
      <c r="M13" s="187"/>
    </row>
    <row r="14" spans="1:16" s="23" customFormat="1" ht="20.25" customHeight="1" x14ac:dyDescent="0.25">
      <c r="A14" s="511"/>
      <c r="B14" s="512"/>
      <c r="C14" s="275"/>
      <c r="D14" s="275"/>
      <c r="E14" s="275"/>
      <c r="F14" s="276"/>
      <c r="G14" s="234"/>
      <c r="H14" s="32"/>
      <c r="I14" s="32"/>
      <c r="J14" s="253"/>
      <c r="K14" s="32"/>
      <c r="L14" s="191"/>
      <c r="M14" s="192"/>
    </row>
    <row r="15" spans="1:16" s="61" customFormat="1" ht="27" customHeight="1" x14ac:dyDescent="0.25">
      <c r="A15" s="509" t="s">
        <v>223</v>
      </c>
      <c r="B15" s="510"/>
      <c r="C15" s="217" t="s">
        <v>6</v>
      </c>
      <c r="D15" s="217" t="s">
        <v>186</v>
      </c>
      <c r="E15" s="517" t="s">
        <v>46</v>
      </c>
      <c r="F15" s="518"/>
      <c r="G15" s="256" t="s">
        <v>120</v>
      </c>
      <c r="H15" s="185"/>
      <c r="I15" s="185"/>
      <c r="J15" s="252" t="s">
        <v>123</v>
      </c>
      <c r="K15" s="185"/>
      <c r="L15" s="186"/>
      <c r="M15" s="187"/>
    </row>
    <row r="16" spans="1:16" s="24" customFormat="1" ht="20.25" customHeight="1" x14ac:dyDescent="0.2">
      <c r="A16" s="507"/>
      <c r="B16" s="508"/>
      <c r="C16" s="283"/>
      <c r="D16" s="284"/>
      <c r="E16" s="536"/>
      <c r="F16" s="537"/>
      <c r="G16" s="285"/>
      <c r="H16" s="193"/>
      <c r="I16" s="193"/>
      <c r="J16" s="253"/>
      <c r="K16" s="193"/>
      <c r="L16" s="189"/>
      <c r="M16" s="190"/>
    </row>
    <row r="17" spans="1:13" ht="17.100000000000001" customHeight="1" x14ac:dyDescent="0.2">
      <c r="A17" s="6"/>
      <c r="B17" s="7"/>
      <c r="C17" s="7"/>
      <c r="D17" s="8"/>
      <c r="E17" s="8"/>
      <c r="F17" s="9"/>
      <c r="G17" s="504" t="s">
        <v>127</v>
      </c>
      <c r="H17" s="503"/>
      <c r="I17" s="194"/>
      <c r="J17" s="503" t="s">
        <v>127</v>
      </c>
      <c r="K17" s="503"/>
      <c r="L17" s="31"/>
    </row>
    <row r="18" spans="1:13" ht="23.25" customHeight="1" thickBot="1" x14ac:dyDescent="0.25">
      <c r="A18" s="513" t="s">
        <v>97</v>
      </c>
      <c r="B18" s="514"/>
      <c r="C18" s="514"/>
      <c r="D18" s="514"/>
      <c r="E18" s="515"/>
      <c r="F18" s="516"/>
      <c r="G18" s="504"/>
      <c r="H18" s="503"/>
      <c r="I18" s="194"/>
      <c r="J18" s="503"/>
      <c r="K18" s="503"/>
      <c r="L18" s="31"/>
    </row>
    <row r="19" spans="1:13" ht="48.75" customHeight="1" x14ac:dyDescent="0.25">
      <c r="A19" s="98"/>
      <c r="B19" s="220" t="s">
        <v>0</v>
      </c>
      <c r="C19" s="99" t="s">
        <v>1</v>
      </c>
      <c r="D19" s="229" t="s">
        <v>96</v>
      </c>
      <c r="E19" s="232" t="s">
        <v>126</v>
      </c>
      <c r="F19" s="431" t="s">
        <v>50</v>
      </c>
      <c r="G19" s="247" t="s">
        <v>119</v>
      </c>
      <c r="H19" s="248" t="s">
        <v>126</v>
      </c>
      <c r="I19" s="195"/>
      <c r="J19" s="491" t="s">
        <v>251</v>
      </c>
      <c r="K19" s="492" t="s">
        <v>126</v>
      </c>
      <c r="L19" s="31"/>
    </row>
    <row r="20" spans="1:13" s="22" customFormat="1" ht="22.7" customHeight="1" x14ac:dyDescent="0.2">
      <c r="A20" s="218"/>
      <c r="B20" s="222">
        <v>1</v>
      </c>
      <c r="C20" s="227" t="s">
        <v>94</v>
      </c>
      <c r="D20" s="223">
        <f>'כח אדם - שכר'!K224</f>
        <v>0</v>
      </c>
      <c r="E20" s="233" t="str">
        <f t="shared" ref="E20:E30" si="0">IF(D20&gt;0,D20/$D$31,"")</f>
        <v/>
      </c>
      <c r="F20" s="430">
        <f>+'כח אדם - שכר'!L226</f>
        <v>0</v>
      </c>
      <c r="G20" s="235">
        <f>IF(COUNTA($G$12,$G$14,$G$16)=3,'כח אדם - שכר'!S224,0)</f>
        <v>0</v>
      </c>
      <c r="H20" s="249" t="str">
        <f t="shared" ref="H20:H30" si="1">IF(G20&gt;0,G20/$G$31,"")</f>
        <v/>
      </c>
      <c r="I20" s="196"/>
      <c r="J20" s="493">
        <f>IF(COUNTA($J$12,$J$14,$J$16)=3,'כח אדם - שכר'!Z224,0)</f>
        <v>0</v>
      </c>
      <c r="K20" s="494" t="str">
        <f t="shared" ref="K20:K30" si="2">IF(J20&gt;0,J20/$J$31,"")</f>
        <v/>
      </c>
      <c r="L20" s="197"/>
      <c r="M20" s="198"/>
    </row>
    <row r="21" spans="1:13" s="22" customFormat="1" ht="22.7" customHeight="1" x14ac:dyDescent="0.2">
      <c r="A21" s="218"/>
      <c r="B21" s="224"/>
      <c r="C21" s="227" t="s">
        <v>95</v>
      </c>
      <c r="D21" s="223">
        <f>'כח אדם - שכר'!K225</f>
        <v>0</v>
      </c>
      <c r="E21" s="233" t="str">
        <f t="shared" si="0"/>
        <v/>
      </c>
      <c r="F21" s="246"/>
      <c r="G21" s="297">
        <f>IF(COUNTA($G$12,$G$14,$G$16)=3,'כח אדם - שכר'!S225,0)</f>
        <v>0</v>
      </c>
      <c r="H21" s="249" t="str">
        <f t="shared" si="1"/>
        <v/>
      </c>
      <c r="I21" s="196"/>
      <c r="J21" s="493">
        <f>IF(COUNTA($J$12,$J$14,$J$16)=3,'כח אדם - שכר'!Z225,0)</f>
        <v>0</v>
      </c>
      <c r="K21" s="494" t="str">
        <f t="shared" si="2"/>
        <v/>
      </c>
      <c r="L21" s="197"/>
      <c r="M21" s="198"/>
    </row>
    <row r="22" spans="1:13" s="22" customFormat="1" ht="22.7" customHeight="1" x14ac:dyDescent="0.2">
      <c r="A22" s="218"/>
      <c r="B22" s="225"/>
      <c r="C22" s="219" t="s">
        <v>111</v>
      </c>
      <c r="D22" s="223">
        <f>D20+D21</f>
        <v>0</v>
      </c>
      <c r="E22" s="233" t="str">
        <f t="shared" si="0"/>
        <v/>
      </c>
      <c r="F22" s="246"/>
      <c r="G22" s="297">
        <f>IF(COUNTA($G$12,$G$14,$G$16)=3,'כח אדם - שכר'!S226,0)</f>
        <v>0</v>
      </c>
      <c r="H22" s="249" t="str">
        <f t="shared" si="1"/>
        <v/>
      </c>
      <c r="I22" s="196"/>
      <c r="J22" s="493">
        <f>IF(COUNTA($J$12,$J$14,$J$16)=3,'כח אדם - שכר'!Z226,0)</f>
        <v>0</v>
      </c>
      <c r="K22" s="494" t="str">
        <f t="shared" si="2"/>
        <v/>
      </c>
      <c r="L22" s="197"/>
      <c r="M22" s="198"/>
    </row>
    <row r="23" spans="1:13" s="22" customFormat="1" ht="22.7" customHeight="1" x14ac:dyDescent="0.2">
      <c r="A23" s="98"/>
      <c r="B23" s="226">
        <v>2</v>
      </c>
      <c r="C23" s="159" t="s">
        <v>2</v>
      </c>
      <c r="D23" s="223">
        <f>'חומרים '!G43</f>
        <v>0</v>
      </c>
      <c r="E23" s="233" t="str">
        <f t="shared" si="0"/>
        <v/>
      </c>
      <c r="F23" s="245" t="str">
        <f t="shared" ref="F23:F31" si="3">IF($G$12&gt;0,C23,"")</f>
        <v/>
      </c>
      <c r="G23" s="235">
        <f>IF(COUNTA($G$12,$G$14,$G$16)=3,'חומרים '!K43,0)</f>
        <v>0</v>
      </c>
      <c r="H23" s="249" t="str">
        <f t="shared" si="1"/>
        <v/>
      </c>
      <c r="I23" s="196"/>
      <c r="J23" s="493">
        <f>IF(COUNTA($J$12,$J$14,$J$16)=3,'חומרים '!R43,0)</f>
        <v>0</v>
      </c>
      <c r="K23" s="494" t="str">
        <f t="shared" si="2"/>
        <v/>
      </c>
      <c r="L23" s="197"/>
      <c r="M23" s="198"/>
    </row>
    <row r="24" spans="1:13" s="22" customFormat="1" ht="22.7" customHeight="1" x14ac:dyDescent="0.2">
      <c r="A24" s="218"/>
      <c r="B24" s="222">
        <v>3</v>
      </c>
      <c r="C24" s="228" t="s">
        <v>87</v>
      </c>
      <c r="D24" s="223">
        <f>'קבלני משנה '!I43</f>
        <v>0</v>
      </c>
      <c r="E24" s="233" t="str">
        <f t="shared" si="0"/>
        <v/>
      </c>
      <c r="F24" s="246" t="str">
        <f t="shared" si="3"/>
        <v/>
      </c>
      <c r="G24" s="235">
        <f>IF(COUNTA($G$12,$G$14,$G$16)=3,'קבלני משנה '!M43,0)</f>
        <v>0</v>
      </c>
      <c r="H24" s="249" t="str">
        <f t="shared" si="1"/>
        <v/>
      </c>
      <c r="I24" s="196"/>
      <c r="J24" s="493">
        <f>IF(COUNTA($J$12,$J$14,$J$16)=3,'קבלני משנה '!S43,0)</f>
        <v>0</v>
      </c>
      <c r="K24" s="494" t="str">
        <f t="shared" si="2"/>
        <v/>
      </c>
      <c r="L24" s="197"/>
      <c r="M24" s="198"/>
    </row>
    <row r="25" spans="1:13" s="22" customFormat="1" ht="22.7" customHeight="1" x14ac:dyDescent="0.2">
      <c r="A25" s="218"/>
      <c r="B25" s="224"/>
      <c r="C25" s="227" t="s">
        <v>88</v>
      </c>
      <c r="D25" s="223">
        <f>'קבלני משנה '!I44</f>
        <v>0</v>
      </c>
      <c r="E25" s="233" t="str">
        <f t="shared" si="0"/>
        <v/>
      </c>
      <c r="F25" s="246" t="str">
        <f t="shared" si="3"/>
        <v/>
      </c>
      <c r="G25" s="235">
        <f>IF(COUNTA($G$12,$G$14,$G$16)=3,'קבלני משנה '!M44,0)</f>
        <v>0</v>
      </c>
      <c r="H25" s="249" t="str">
        <f t="shared" si="1"/>
        <v/>
      </c>
      <c r="I25" s="196"/>
      <c r="J25" s="493">
        <f>IF(COUNTA($J$12,$J$14,$J$16)=3,'קבלני משנה '!S44,0)</f>
        <v>0</v>
      </c>
      <c r="K25" s="494" t="str">
        <f t="shared" si="2"/>
        <v/>
      </c>
      <c r="L25" s="197"/>
      <c r="M25" s="198"/>
    </row>
    <row r="26" spans="1:13" s="22" customFormat="1" ht="22.7" customHeight="1" x14ac:dyDescent="0.2">
      <c r="A26" s="218"/>
      <c r="B26" s="225"/>
      <c r="C26" s="219" t="s">
        <v>112</v>
      </c>
      <c r="D26" s="223">
        <f>'קבלני משנה '!I45</f>
        <v>0</v>
      </c>
      <c r="E26" s="233" t="str">
        <f t="shared" si="0"/>
        <v/>
      </c>
      <c r="F26" s="245" t="str">
        <f t="shared" si="3"/>
        <v/>
      </c>
      <c r="G26" s="235">
        <f>IF(COUNTA($G$12,$G$14,$G$16)=3,'קבלני משנה '!M45,0)</f>
        <v>0</v>
      </c>
      <c r="H26" s="249" t="str">
        <f t="shared" si="1"/>
        <v/>
      </c>
      <c r="I26" s="196"/>
      <c r="J26" s="493">
        <f>IF(COUNTA($J$12,$J$14,$J$16)=3,'קבלני משנה '!S45,0)</f>
        <v>0</v>
      </c>
      <c r="K26" s="494" t="str">
        <f t="shared" si="2"/>
        <v/>
      </c>
      <c r="L26" s="197"/>
      <c r="M26" s="198"/>
    </row>
    <row r="27" spans="1:13" s="22" customFormat="1" ht="22.7" customHeight="1" x14ac:dyDescent="0.2">
      <c r="A27" s="98"/>
      <c r="B27" s="221">
        <v>4</v>
      </c>
      <c r="C27" s="159" t="s">
        <v>29</v>
      </c>
      <c r="D27" s="223">
        <f>ציוד!H53</f>
        <v>0</v>
      </c>
      <c r="E27" s="233" t="str">
        <f t="shared" si="0"/>
        <v/>
      </c>
      <c r="F27" s="245" t="str">
        <f t="shared" si="3"/>
        <v/>
      </c>
      <c r="G27" s="235">
        <f>IF(COUNTA($G$12,$G$14,$G$16)=3,ציוד!N53,0)</f>
        <v>0</v>
      </c>
      <c r="H27" s="249" t="str">
        <f t="shared" si="1"/>
        <v/>
      </c>
      <c r="I27" s="196"/>
      <c r="J27" s="493">
        <f>IF(COUNTA($J$12,$J$14,$J$16)=3,ציוד!U53,0)</f>
        <v>0</v>
      </c>
      <c r="K27" s="494" t="str">
        <f t="shared" si="2"/>
        <v/>
      </c>
      <c r="L27" s="197"/>
      <c r="M27" s="198"/>
    </row>
    <row r="28" spans="1:13" s="22" customFormat="1" ht="22.7" customHeight="1" x14ac:dyDescent="0.2">
      <c r="A28" s="98"/>
      <c r="B28" s="221">
        <v>5</v>
      </c>
      <c r="C28" s="159" t="s">
        <v>3</v>
      </c>
      <c r="D28" s="223">
        <f>שונות!K43</f>
        <v>0</v>
      </c>
      <c r="E28" s="233" t="str">
        <f t="shared" si="0"/>
        <v/>
      </c>
      <c r="F28" s="245" t="str">
        <f t="shared" si="3"/>
        <v/>
      </c>
      <c r="G28" s="236">
        <f>IF(COUNTA($G$12,$G$14,$G$16)=3,שונות!O43,0)</f>
        <v>0</v>
      </c>
      <c r="H28" s="249" t="str">
        <f t="shared" si="1"/>
        <v/>
      </c>
      <c r="I28" s="196"/>
      <c r="J28" s="495">
        <f>IF(COUNTA($J$12,$J$14,$J$16)=3,שונות!V43,0)</f>
        <v>0</v>
      </c>
      <c r="K28" s="494" t="str">
        <f t="shared" si="2"/>
        <v/>
      </c>
      <c r="L28" s="197"/>
      <c r="M28" s="198"/>
    </row>
    <row r="29" spans="1:13" s="22" customFormat="1" ht="22.7" customHeight="1" x14ac:dyDescent="0.2">
      <c r="A29" s="98"/>
      <c r="B29" s="226">
        <v>6</v>
      </c>
      <c r="C29" s="159" t="s">
        <v>200</v>
      </c>
      <c r="D29" s="362">
        <f>+שיווק!E43</f>
        <v>0</v>
      </c>
      <c r="E29" s="233" t="str">
        <f t="shared" si="0"/>
        <v/>
      </c>
      <c r="F29" s="245" t="str">
        <f t="shared" si="3"/>
        <v/>
      </c>
      <c r="G29" s="236">
        <f>IF(COUNTA($G$12,$G$14,$G$16)=3,שיווק!H43,0)</f>
        <v>0</v>
      </c>
      <c r="H29" s="249" t="str">
        <f t="shared" si="1"/>
        <v/>
      </c>
      <c r="I29" s="196"/>
      <c r="J29" s="495">
        <f>IF(COUNTA($J$12,$J$14,$J$16)=3,שיווק!N43,0)</f>
        <v>0</v>
      </c>
      <c r="K29" s="494" t="str">
        <f t="shared" si="2"/>
        <v/>
      </c>
      <c r="L29" s="197"/>
      <c r="M29" s="198"/>
    </row>
    <row r="30" spans="1:13" s="22" customFormat="1" ht="22.7" customHeight="1" thickBot="1" x14ac:dyDescent="0.25">
      <c r="A30" s="98"/>
      <c r="B30" s="226">
        <v>7</v>
      </c>
      <c r="C30" s="382" t="s">
        <v>239</v>
      </c>
      <c r="D30" s="223">
        <f>+'ציוד ייעודי'!G43</f>
        <v>0</v>
      </c>
      <c r="E30" s="233" t="str">
        <f t="shared" si="0"/>
        <v/>
      </c>
      <c r="F30" s="245" t="str">
        <f t="shared" si="3"/>
        <v/>
      </c>
      <c r="G30" s="236">
        <f>+'ציוד ייעודי'!K43</f>
        <v>0</v>
      </c>
      <c r="H30" s="249" t="str">
        <f t="shared" si="1"/>
        <v/>
      </c>
      <c r="I30" s="196"/>
      <c r="J30" s="495">
        <f>+'ציוד ייעודי'!R43</f>
        <v>0</v>
      </c>
      <c r="K30" s="494" t="str">
        <f t="shared" si="2"/>
        <v/>
      </c>
      <c r="L30" s="197"/>
      <c r="M30" s="198"/>
    </row>
    <row r="31" spans="1:13" s="22" customFormat="1" ht="22.7" customHeight="1" thickBot="1" x14ac:dyDescent="0.25">
      <c r="A31" s="98"/>
      <c r="B31" s="226">
        <v>8</v>
      </c>
      <c r="C31" s="365" t="s">
        <v>4</v>
      </c>
      <c r="D31" s="363">
        <f>D22+D23+D26+D27+D28+D29+D30</f>
        <v>0</v>
      </c>
      <c r="E31" s="231" t="str">
        <f>IF($D$31&gt;0,D31/$D$31,"")</f>
        <v/>
      </c>
      <c r="F31" s="238" t="str">
        <f t="shared" si="3"/>
        <v/>
      </c>
      <c r="G31" s="250">
        <f>G22+G23+G26+G27+G28+G29+G30</f>
        <v>0</v>
      </c>
      <c r="H31" s="251" t="str">
        <f>IF($G$31&gt;0,G31/$G$31,"")</f>
        <v/>
      </c>
      <c r="I31" s="196"/>
      <c r="J31" s="496">
        <f>J22+J23+J26+J27+J28+J29+J30</f>
        <v>0</v>
      </c>
      <c r="K31" s="497" t="str">
        <f>IF($J$31&gt;0,J31/$J$31,"")</f>
        <v/>
      </c>
      <c r="L31" s="197"/>
      <c r="M31" s="198"/>
    </row>
    <row r="32" spans="1:13" ht="21.75" customHeight="1" thickBot="1" x14ac:dyDescent="0.25">
      <c r="A32" s="202"/>
      <c r="B32" s="226">
        <v>9</v>
      </c>
      <c r="C32" s="364" t="s">
        <v>187</v>
      </c>
      <c r="D32" s="362">
        <f>+D31-D25</f>
        <v>0</v>
      </c>
      <c r="E32" s="231" t="str">
        <f>IF($D$31&gt;0,D32/$D$31,"")</f>
        <v/>
      </c>
      <c r="F32" s="203"/>
      <c r="G32" s="250">
        <f>+G31-G25</f>
        <v>0</v>
      </c>
      <c r="H32" s="251" t="str">
        <f>IF($G$31&gt;0,G32/$G$31,"")</f>
        <v/>
      </c>
      <c r="I32" s="31"/>
      <c r="J32" s="498">
        <f>+J31-J25</f>
        <v>0</v>
      </c>
      <c r="K32" s="499" t="str">
        <f>IF($J$31&gt;0,J32/$J$31,"")</f>
        <v/>
      </c>
      <c r="L32" s="31"/>
    </row>
    <row r="33" spans="1:13" s="12" customFormat="1" ht="39.75" customHeight="1" x14ac:dyDescent="0.3">
      <c r="A33" s="525"/>
      <c r="B33" s="526"/>
      <c r="C33" s="527"/>
      <c r="D33" s="528"/>
      <c r="E33" s="520"/>
      <c r="F33" s="521"/>
      <c r="G33" s="258"/>
      <c r="I33" s="199"/>
      <c r="J33" s="199"/>
      <c r="L33" s="199"/>
      <c r="M33" s="199"/>
    </row>
    <row r="34" spans="1:13" ht="17.100000000000001" customHeight="1" x14ac:dyDescent="0.25">
      <c r="A34" s="524" t="s">
        <v>166</v>
      </c>
      <c r="B34" s="522"/>
      <c r="C34" s="519" t="s">
        <v>167</v>
      </c>
      <c r="D34" s="519"/>
      <c r="E34" s="522" t="s">
        <v>168</v>
      </c>
      <c r="F34" s="523"/>
      <c r="G34" s="254"/>
    </row>
    <row r="35" spans="1:13" ht="16.5" thickBot="1" x14ac:dyDescent="0.3">
      <c r="A35" s="13"/>
      <c r="B35" s="14"/>
      <c r="C35" s="25"/>
      <c r="D35" s="10"/>
      <c r="E35" s="10"/>
      <c r="F35" s="11"/>
      <c r="G35" s="254"/>
    </row>
    <row r="36" spans="1:13" x14ac:dyDescent="0.2">
      <c r="C36" s="15" t="s">
        <v>10</v>
      </c>
    </row>
    <row r="41" spans="1:13" hidden="1" x14ac:dyDescent="0.2"/>
    <row r="42" spans="1:13" hidden="1" x14ac:dyDescent="0.2"/>
    <row r="43" spans="1:13" hidden="1" x14ac:dyDescent="0.2"/>
    <row r="44" spans="1:13" hidden="1" x14ac:dyDescent="0.2"/>
    <row r="45" spans="1:13" hidden="1" x14ac:dyDescent="0.2"/>
    <row r="46" spans="1:13" hidden="1" x14ac:dyDescent="0.2"/>
    <row r="47" spans="1:13" hidden="1" x14ac:dyDescent="0.2"/>
    <row r="48" spans="1:13" hidden="1" x14ac:dyDescent="0.2"/>
    <row r="49" spans="1:13" hidden="1" x14ac:dyDescent="0.2">
      <c r="A49" s="26" t="s">
        <v>16</v>
      </c>
      <c r="D49" s="15" t="s">
        <v>10</v>
      </c>
    </row>
    <row r="50" spans="1:13" hidden="1" x14ac:dyDescent="0.2">
      <c r="A50" s="26" t="s">
        <v>17</v>
      </c>
    </row>
    <row r="51" spans="1:13" hidden="1" x14ac:dyDescent="0.2">
      <c r="A51" s="26" t="s">
        <v>18</v>
      </c>
    </row>
    <row r="52" spans="1:13" hidden="1" x14ac:dyDescent="0.2">
      <c r="A52" s="26" t="s">
        <v>19</v>
      </c>
    </row>
    <row r="53" spans="1:13" hidden="1" x14ac:dyDescent="0.2">
      <c r="A53" s="26" t="s">
        <v>20</v>
      </c>
    </row>
    <row r="54" spans="1:13" hidden="1" x14ac:dyDescent="0.2"/>
    <row r="55" spans="1:13" hidden="1" x14ac:dyDescent="0.2"/>
    <row r="56" spans="1:13" hidden="1" x14ac:dyDescent="0.2"/>
    <row r="57" spans="1:13" hidden="1" x14ac:dyDescent="0.2"/>
    <row r="58" spans="1:13" hidden="1" x14ac:dyDescent="0.2"/>
    <row r="59" spans="1:13" hidden="1" x14ac:dyDescent="0.2"/>
    <row r="60" spans="1:13" hidden="1" x14ac:dyDescent="0.2"/>
    <row r="61" spans="1:13" hidden="1" x14ac:dyDescent="0.2"/>
    <row r="62" spans="1:13" s="27" customFormat="1" hidden="1" x14ac:dyDescent="0.2">
      <c r="G62" s="180"/>
      <c r="H62" s="180"/>
      <c r="I62" s="200"/>
      <c r="J62" s="200"/>
      <c r="K62" s="180"/>
      <c r="L62" s="201"/>
      <c r="M62" s="201"/>
    </row>
    <row r="63" spans="1:13" s="27" customFormat="1" hidden="1" x14ac:dyDescent="0.2">
      <c r="G63" s="180"/>
      <c r="H63" s="180"/>
      <c r="I63" s="200"/>
      <c r="J63" s="200"/>
      <c r="K63" s="180"/>
      <c r="L63" s="201"/>
      <c r="M63" s="201"/>
    </row>
    <row r="64" spans="1:13" s="27" customFormat="1" hidden="1" x14ac:dyDescent="0.2">
      <c r="A64" s="28">
        <v>43374</v>
      </c>
      <c r="B64" s="287">
        <v>43404</v>
      </c>
      <c r="G64" s="180"/>
      <c r="H64" s="180"/>
      <c r="I64" s="200"/>
      <c r="J64" s="200"/>
      <c r="K64" s="180"/>
      <c r="L64" s="201"/>
      <c r="M64" s="201"/>
    </row>
    <row r="65" spans="1:13" s="27" customFormat="1" hidden="1" x14ac:dyDescent="0.2">
      <c r="A65" s="28">
        <v>43405</v>
      </c>
      <c r="B65" s="287">
        <v>43434</v>
      </c>
      <c r="G65" s="180"/>
      <c r="H65" s="180"/>
      <c r="I65" s="200"/>
      <c r="J65" s="200"/>
      <c r="K65" s="180"/>
      <c r="L65" s="201"/>
      <c r="M65" s="201"/>
    </row>
    <row r="66" spans="1:13" s="27" customFormat="1" hidden="1" x14ac:dyDescent="0.2">
      <c r="A66" s="28">
        <v>43435</v>
      </c>
      <c r="B66" s="287">
        <v>43465</v>
      </c>
      <c r="G66" s="180"/>
      <c r="H66" s="180"/>
      <c r="I66" s="200"/>
      <c r="J66" s="200"/>
      <c r="K66" s="180"/>
      <c r="L66" s="201"/>
      <c r="M66" s="201"/>
    </row>
    <row r="67" spans="1:13" s="27" customFormat="1" hidden="1" x14ac:dyDescent="0.2">
      <c r="A67" s="28">
        <v>43466</v>
      </c>
      <c r="B67" s="287">
        <v>43496</v>
      </c>
      <c r="G67" s="180"/>
      <c r="H67" s="180"/>
      <c r="I67" s="200"/>
      <c r="J67" s="200"/>
      <c r="K67" s="180"/>
      <c r="L67" s="201"/>
      <c r="M67" s="201"/>
    </row>
    <row r="68" spans="1:13" s="27" customFormat="1" hidden="1" x14ac:dyDescent="0.2">
      <c r="A68" s="28">
        <v>43497</v>
      </c>
      <c r="B68" s="287">
        <v>43524</v>
      </c>
      <c r="G68" s="180"/>
      <c r="H68" s="180"/>
      <c r="I68" s="200"/>
      <c r="J68" s="200"/>
      <c r="K68" s="180"/>
      <c r="L68" s="201"/>
      <c r="M68" s="201"/>
    </row>
    <row r="69" spans="1:13" s="27" customFormat="1" hidden="1" x14ac:dyDescent="0.2">
      <c r="A69" s="28">
        <v>43525</v>
      </c>
      <c r="B69" s="287">
        <v>43555</v>
      </c>
      <c r="G69" s="180"/>
      <c r="H69" s="180"/>
      <c r="I69" s="200"/>
      <c r="J69" s="200"/>
      <c r="K69" s="180"/>
      <c r="L69" s="201"/>
      <c r="M69" s="201"/>
    </row>
    <row r="70" spans="1:13" s="27" customFormat="1" hidden="1" x14ac:dyDescent="0.2">
      <c r="A70" s="28">
        <v>43556</v>
      </c>
      <c r="B70" s="287">
        <v>43585</v>
      </c>
      <c r="G70" s="180"/>
      <c r="H70" s="180"/>
      <c r="I70" s="200"/>
      <c r="J70" s="200"/>
      <c r="K70" s="180"/>
      <c r="L70" s="201"/>
      <c r="M70" s="201"/>
    </row>
    <row r="71" spans="1:13" s="27" customFormat="1" hidden="1" x14ac:dyDescent="0.2">
      <c r="A71" s="28">
        <v>43586</v>
      </c>
      <c r="B71" s="287">
        <v>43616</v>
      </c>
      <c r="G71" s="180"/>
      <c r="H71" s="180"/>
      <c r="I71" s="200"/>
      <c r="J71" s="200"/>
      <c r="K71" s="180"/>
      <c r="L71" s="201"/>
      <c r="M71" s="201"/>
    </row>
    <row r="72" spans="1:13" s="27" customFormat="1" hidden="1" x14ac:dyDescent="0.2">
      <c r="A72" s="28">
        <v>43617</v>
      </c>
      <c r="B72" s="287">
        <v>43646</v>
      </c>
      <c r="G72" s="180"/>
      <c r="H72" s="180"/>
      <c r="I72" s="200"/>
      <c r="J72" s="200"/>
      <c r="K72" s="180"/>
      <c r="L72" s="201"/>
      <c r="M72" s="201"/>
    </row>
    <row r="73" spans="1:13" s="27" customFormat="1" hidden="1" x14ac:dyDescent="0.2">
      <c r="A73" s="28">
        <v>43647</v>
      </c>
      <c r="B73" s="287">
        <v>43677</v>
      </c>
      <c r="G73" s="180"/>
      <c r="H73" s="180"/>
      <c r="I73" s="200"/>
      <c r="J73" s="200"/>
      <c r="K73" s="180"/>
      <c r="L73" s="201"/>
      <c r="M73" s="201"/>
    </row>
    <row r="74" spans="1:13" s="27" customFormat="1" hidden="1" x14ac:dyDescent="0.2">
      <c r="A74" s="28">
        <v>43678</v>
      </c>
      <c r="B74" s="287">
        <v>43708</v>
      </c>
      <c r="G74" s="180"/>
      <c r="H74" s="180"/>
      <c r="I74" s="200"/>
      <c r="J74" s="200"/>
      <c r="K74" s="180"/>
      <c r="L74" s="201"/>
      <c r="M74" s="201"/>
    </row>
    <row r="75" spans="1:13" s="27" customFormat="1" hidden="1" x14ac:dyDescent="0.2">
      <c r="A75" s="28">
        <v>43709</v>
      </c>
      <c r="B75" s="287">
        <v>43738</v>
      </c>
      <c r="G75" s="180"/>
      <c r="H75" s="180"/>
      <c r="I75" s="200"/>
      <c r="J75" s="200"/>
      <c r="K75" s="180"/>
      <c r="L75" s="201"/>
      <c r="M75" s="201"/>
    </row>
    <row r="76" spans="1:13" s="27" customFormat="1" hidden="1" x14ac:dyDescent="0.2">
      <c r="A76" s="28">
        <v>43739</v>
      </c>
      <c r="B76" s="287">
        <v>43769</v>
      </c>
      <c r="G76" s="180"/>
      <c r="H76" s="180"/>
      <c r="I76" s="200"/>
      <c r="J76" s="200"/>
      <c r="K76" s="180"/>
      <c r="L76" s="201"/>
      <c r="M76" s="201"/>
    </row>
    <row r="77" spans="1:13" s="27" customFormat="1" hidden="1" x14ac:dyDescent="0.2">
      <c r="A77" s="28">
        <v>43770</v>
      </c>
      <c r="B77" s="287">
        <v>43799</v>
      </c>
      <c r="G77" s="180"/>
      <c r="H77" s="180"/>
      <c r="I77" s="200"/>
      <c r="J77" s="200"/>
      <c r="K77" s="180"/>
      <c r="L77" s="201"/>
      <c r="M77" s="201"/>
    </row>
    <row r="78" spans="1:13" s="27" customFormat="1" hidden="1" x14ac:dyDescent="0.2">
      <c r="A78" s="28">
        <v>43800</v>
      </c>
      <c r="B78" s="287">
        <v>43830</v>
      </c>
      <c r="G78" s="180"/>
      <c r="H78" s="180"/>
      <c r="I78" s="200"/>
      <c r="J78" s="200"/>
      <c r="K78" s="180"/>
      <c r="L78" s="201"/>
      <c r="M78" s="201"/>
    </row>
    <row r="79" spans="1:13" s="27" customFormat="1" hidden="1" x14ac:dyDescent="0.2">
      <c r="A79" s="28">
        <v>43831</v>
      </c>
      <c r="B79" s="287">
        <v>43861</v>
      </c>
      <c r="G79" s="180"/>
      <c r="H79" s="180"/>
      <c r="I79" s="200"/>
      <c r="J79" s="200"/>
      <c r="K79" s="180"/>
      <c r="L79" s="201"/>
      <c r="M79" s="201"/>
    </row>
    <row r="80" spans="1:13" s="27" customFormat="1" hidden="1" x14ac:dyDescent="0.2">
      <c r="A80" s="28">
        <v>43862</v>
      </c>
      <c r="B80" s="287">
        <v>43890</v>
      </c>
      <c r="G80" s="180"/>
      <c r="H80" s="180"/>
      <c r="I80" s="200"/>
      <c r="J80" s="200"/>
      <c r="K80" s="180"/>
      <c r="L80" s="201"/>
      <c r="M80" s="201"/>
    </row>
    <row r="81" spans="1:13" s="27" customFormat="1" hidden="1" x14ac:dyDescent="0.2">
      <c r="A81" s="28">
        <v>43891</v>
      </c>
      <c r="B81" s="287">
        <v>43921</v>
      </c>
      <c r="G81" s="180"/>
      <c r="H81" s="180"/>
      <c r="I81" s="200"/>
      <c r="J81" s="200"/>
      <c r="K81" s="180"/>
      <c r="L81" s="201"/>
      <c r="M81" s="201"/>
    </row>
    <row r="82" spans="1:13" s="27" customFormat="1" hidden="1" x14ac:dyDescent="0.2">
      <c r="A82" s="28">
        <v>43922</v>
      </c>
      <c r="B82" s="287">
        <v>43951</v>
      </c>
      <c r="G82" s="180"/>
      <c r="H82" s="180"/>
      <c r="I82" s="200"/>
      <c r="J82" s="200"/>
      <c r="K82" s="180"/>
      <c r="L82" s="201"/>
      <c r="M82" s="201"/>
    </row>
    <row r="83" spans="1:13" s="27" customFormat="1" hidden="1" x14ac:dyDescent="0.2">
      <c r="A83" s="28">
        <v>43952</v>
      </c>
      <c r="B83" s="287">
        <v>43982</v>
      </c>
      <c r="G83" s="180"/>
      <c r="H83" s="180"/>
      <c r="I83" s="200"/>
      <c r="J83" s="200"/>
      <c r="K83" s="180"/>
      <c r="L83" s="201"/>
      <c r="M83" s="201"/>
    </row>
    <row r="84" spans="1:13" s="27" customFormat="1" hidden="1" x14ac:dyDescent="0.2">
      <c r="A84" s="28">
        <v>43983</v>
      </c>
      <c r="B84" s="287">
        <v>44012</v>
      </c>
      <c r="G84" s="180"/>
      <c r="H84" s="180"/>
      <c r="I84" s="200"/>
      <c r="J84" s="200"/>
      <c r="K84" s="180"/>
      <c r="L84" s="201"/>
      <c r="M84" s="201"/>
    </row>
    <row r="85" spans="1:13" s="27" customFormat="1" hidden="1" x14ac:dyDescent="0.2">
      <c r="A85" s="28">
        <v>44013</v>
      </c>
      <c r="B85" s="287">
        <v>44043</v>
      </c>
      <c r="G85" s="180"/>
      <c r="H85" s="180"/>
      <c r="I85" s="200"/>
      <c r="J85" s="200"/>
      <c r="K85" s="180"/>
      <c r="L85" s="201"/>
      <c r="M85" s="201"/>
    </row>
    <row r="86" spans="1:13" s="27" customFormat="1" hidden="1" x14ac:dyDescent="0.2">
      <c r="A86" s="28">
        <v>44044</v>
      </c>
      <c r="B86" s="287">
        <v>44074</v>
      </c>
      <c r="G86" s="180"/>
      <c r="H86" s="180"/>
      <c r="I86" s="200"/>
      <c r="J86" s="200"/>
      <c r="K86" s="180"/>
      <c r="L86" s="201"/>
      <c r="M86" s="201"/>
    </row>
    <row r="87" spans="1:13" s="27" customFormat="1" hidden="1" x14ac:dyDescent="0.2">
      <c r="A87" s="28">
        <v>44075</v>
      </c>
      <c r="B87" s="287">
        <v>44104</v>
      </c>
      <c r="G87" s="180"/>
      <c r="H87" s="180"/>
      <c r="I87" s="200"/>
      <c r="J87" s="200"/>
      <c r="K87" s="180"/>
      <c r="L87" s="201"/>
      <c r="M87" s="201"/>
    </row>
    <row r="88" spans="1:13" s="27" customFormat="1" hidden="1" x14ac:dyDescent="0.2">
      <c r="A88" s="28">
        <v>44105</v>
      </c>
      <c r="B88" s="287">
        <v>44135</v>
      </c>
      <c r="G88" s="180"/>
      <c r="H88" s="180"/>
      <c r="I88" s="200"/>
      <c r="J88" s="200"/>
      <c r="K88" s="180"/>
      <c r="L88" s="201"/>
      <c r="M88" s="201"/>
    </row>
    <row r="89" spans="1:13" s="27" customFormat="1" hidden="1" x14ac:dyDescent="0.2">
      <c r="A89" s="28">
        <v>44136</v>
      </c>
      <c r="B89" s="287">
        <v>44165</v>
      </c>
      <c r="G89" s="180"/>
      <c r="H89" s="180"/>
      <c r="I89" s="200"/>
      <c r="J89" s="200"/>
      <c r="K89" s="180"/>
      <c r="L89" s="201"/>
      <c r="M89" s="201"/>
    </row>
    <row r="90" spans="1:13" s="27" customFormat="1" hidden="1" x14ac:dyDescent="0.2">
      <c r="A90" s="28">
        <v>44166</v>
      </c>
      <c r="B90" s="287">
        <v>44196</v>
      </c>
      <c r="G90" s="180"/>
      <c r="H90" s="180"/>
      <c r="I90" s="200"/>
      <c r="J90" s="200"/>
      <c r="K90" s="180"/>
      <c r="L90" s="201"/>
      <c r="M90" s="201"/>
    </row>
    <row r="91" spans="1:13" s="27" customFormat="1" hidden="1" x14ac:dyDescent="0.2">
      <c r="A91" s="28">
        <v>44197</v>
      </c>
      <c r="B91" s="287">
        <v>44227</v>
      </c>
      <c r="G91" s="180"/>
      <c r="H91" s="180"/>
      <c r="I91" s="200"/>
      <c r="J91" s="200"/>
      <c r="K91" s="180"/>
      <c r="L91" s="201"/>
      <c r="M91" s="201"/>
    </row>
    <row r="92" spans="1:13" s="27" customFormat="1" hidden="1" x14ac:dyDescent="0.2">
      <c r="A92" s="28">
        <v>44228</v>
      </c>
      <c r="B92" s="287">
        <v>44255</v>
      </c>
      <c r="G92" s="180"/>
      <c r="H92" s="180"/>
      <c r="I92" s="200"/>
      <c r="J92" s="200"/>
      <c r="K92" s="180"/>
      <c r="L92" s="201"/>
      <c r="M92" s="201"/>
    </row>
    <row r="93" spans="1:13" s="27" customFormat="1" hidden="1" x14ac:dyDescent="0.2">
      <c r="A93" s="28">
        <v>44256</v>
      </c>
      <c r="B93" s="287">
        <v>44286</v>
      </c>
      <c r="G93" s="180"/>
      <c r="H93" s="180"/>
      <c r="I93" s="200"/>
      <c r="J93" s="200"/>
      <c r="K93" s="180"/>
      <c r="L93" s="201"/>
      <c r="M93" s="201"/>
    </row>
    <row r="94" spans="1:13" s="27" customFormat="1" hidden="1" x14ac:dyDescent="0.2">
      <c r="A94" s="28">
        <v>44287</v>
      </c>
      <c r="B94" s="287">
        <v>44316</v>
      </c>
      <c r="G94" s="180"/>
      <c r="H94" s="180"/>
      <c r="I94" s="200"/>
      <c r="J94" s="200"/>
      <c r="K94" s="180"/>
      <c r="L94" s="201"/>
      <c r="M94" s="201"/>
    </row>
    <row r="95" spans="1:13" s="27" customFormat="1" ht="12.2" hidden="1" customHeight="1" x14ac:dyDescent="0.2">
      <c r="A95" s="28">
        <v>44317</v>
      </c>
      <c r="B95" s="287">
        <v>44347</v>
      </c>
      <c r="G95" s="180"/>
      <c r="H95" s="180"/>
      <c r="I95" s="200"/>
      <c r="J95" s="200"/>
      <c r="K95" s="180"/>
      <c r="L95" s="201"/>
      <c r="M95" s="201"/>
    </row>
    <row r="96" spans="1:13" s="27" customFormat="1" hidden="1" x14ac:dyDescent="0.2">
      <c r="A96" s="28">
        <v>44348</v>
      </c>
      <c r="B96" s="287">
        <v>44377</v>
      </c>
      <c r="G96" s="180"/>
      <c r="H96" s="180"/>
      <c r="I96" s="200"/>
      <c r="J96" s="200"/>
      <c r="K96" s="180"/>
      <c r="L96" s="201"/>
      <c r="M96" s="201"/>
    </row>
    <row r="97" spans="1:13" s="27" customFormat="1" hidden="1" x14ac:dyDescent="0.2">
      <c r="A97" s="28">
        <v>44378</v>
      </c>
      <c r="B97" s="287">
        <v>44408</v>
      </c>
      <c r="G97" s="180"/>
      <c r="H97" s="180"/>
      <c r="I97" s="200"/>
      <c r="J97" s="200"/>
      <c r="K97" s="180"/>
      <c r="L97" s="201"/>
      <c r="M97" s="201"/>
    </row>
    <row r="98" spans="1:13" s="27" customFormat="1" hidden="1" x14ac:dyDescent="0.2">
      <c r="A98" s="28">
        <v>44409</v>
      </c>
      <c r="B98" s="287">
        <v>44439</v>
      </c>
      <c r="G98" s="180"/>
      <c r="H98" s="180"/>
      <c r="I98" s="200"/>
      <c r="J98" s="200"/>
      <c r="K98" s="180"/>
      <c r="L98" s="201"/>
      <c r="M98" s="201"/>
    </row>
    <row r="99" spans="1:13" s="27" customFormat="1" hidden="1" x14ac:dyDescent="0.2">
      <c r="A99" s="28">
        <v>44440</v>
      </c>
      <c r="B99" s="287">
        <v>44469</v>
      </c>
      <c r="G99" s="180"/>
      <c r="H99" s="180"/>
      <c r="I99" s="200"/>
      <c r="J99" s="200"/>
      <c r="K99" s="180"/>
      <c r="L99" s="201"/>
      <c r="M99" s="201"/>
    </row>
    <row r="100" spans="1:13" s="27" customFormat="1" hidden="1" x14ac:dyDescent="0.2">
      <c r="A100" s="28">
        <v>44470</v>
      </c>
      <c r="B100" s="287">
        <v>44500</v>
      </c>
      <c r="G100" s="180"/>
      <c r="H100" s="180"/>
      <c r="I100" s="200"/>
      <c r="J100" s="200"/>
      <c r="K100" s="180"/>
      <c r="L100" s="201"/>
      <c r="M100" s="201"/>
    </row>
    <row r="101" spans="1:13" s="27" customFormat="1" hidden="1" x14ac:dyDescent="0.2">
      <c r="A101" s="28">
        <v>44501</v>
      </c>
      <c r="B101" s="287">
        <v>44530</v>
      </c>
      <c r="G101" s="180"/>
      <c r="H101" s="180"/>
      <c r="I101" s="200"/>
      <c r="J101" s="200"/>
      <c r="K101" s="180"/>
      <c r="L101" s="201"/>
      <c r="M101" s="201"/>
    </row>
    <row r="102" spans="1:13" s="27" customFormat="1" hidden="1" x14ac:dyDescent="0.2">
      <c r="A102" s="28">
        <v>44531</v>
      </c>
      <c r="B102" s="287">
        <v>44561</v>
      </c>
      <c r="G102" s="180"/>
      <c r="H102" s="180"/>
      <c r="I102" s="200"/>
      <c r="J102" s="200"/>
      <c r="K102" s="180"/>
      <c r="L102" s="201"/>
      <c r="M102" s="201"/>
    </row>
    <row r="103" spans="1:13" s="27" customFormat="1" hidden="1" x14ac:dyDescent="0.2">
      <c r="A103" s="28">
        <v>44562</v>
      </c>
      <c r="B103" s="287">
        <v>44592</v>
      </c>
      <c r="G103" s="180"/>
      <c r="H103" s="180"/>
      <c r="I103" s="200"/>
      <c r="J103" s="200"/>
      <c r="K103" s="180"/>
      <c r="L103" s="201"/>
      <c r="M103" s="201"/>
    </row>
    <row r="104" spans="1:13" s="27" customFormat="1" hidden="1" x14ac:dyDescent="0.2">
      <c r="A104" s="28">
        <v>44593</v>
      </c>
      <c r="B104" s="287">
        <v>44620</v>
      </c>
      <c r="G104" s="180"/>
      <c r="H104" s="180"/>
      <c r="I104" s="200"/>
      <c r="J104" s="200"/>
      <c r="K104" s="180"/>
      <c r="L104" s="201"/>
      <c r="M104" s="201"/>
    </row>
    <row r="105" spans="1:13" s="27" customFormat="1" hidden="1" x14ac:dyDescent="0.2">
      <c r="A105" s="28">
        <v>44621</v>
      </c>
      <c r="B105" s="287">
        <v>44651</v>
      </c>
      <c r="G105" s="180"/>
      <c r="H105" s="180"/>
      <c r="I105" s="200"/>
      <c r="J105" s="200"/>
      <c r="K105" s="180"/>
      <c r="L105" s="201"/>
      <c r="M105" s="201"/>
    </row>
    <row r="106" spans="1:13" s="27" customFormat="1" hidden="1" x14ac:dyDescent="0.2">
      <c r="A106" s="28">
        <v>44652</v>
      </c>
      <c r="B106" s="287">
        <v>44681</v>
      </c>
      <c r="G106" s="180"/>
      <c r="H106" s="180"/>
      <c r="I106" s="200"/>
      <c r="J106" s="200"/>
      <c r="K106" s="180"/>
      <c r="L106" s="201"/>
      <c r="M106" s="201"/>
    </row>
    <row r="107" spans="1:13" s="27" customFormat="1" hidden="1" x14ac:dyDescent="0.2">
      <c r="A107" s="28">
        <v>44682</v>
      </c>
      <c r="B107" s="287">
        <v>44712</v>
      </c>
      <c r="G107" s="180"/>
      <c r="H107" s="180"/>
      <c r="I107" s="200"/>
      <c r="J107" s="200"/>
      <c r="K107" s="180"/>
      <c r="L107" s="201"/>
      <c r="M107" s="201"/>
    </row>
    <row r="108" spans="1:13" s="27" customFormat="1" hidden="1" x14ac:dyDescent="0.2">
      <c r="A108" s="28">
        <v>44713</v>
      </c>
      <c r="B108" s="287">
        <v>44742</v>
      </c>
      <c r="G108" s="180"/>
      <c r="H108" s="180"/>
      <c r="I108" s="200"/>
      <c r="J108" s="200"/>
      <c r="K108" s="180"/>
      <c r="L108" s="201"/>
      <c r="M108" s="201"/>
    </row>
    <row r="109" spans="1:13" s="27" customFormat="1" hidden="1" x14ac:dyDescent="0.2">
      <c r="A109" s="28">
        <v>44743</v>
      </c>
      <c r="B109" s="287">
        <v>44773</v>
      </c>
      <c r="G109" s="180"/>
      <c r="H109" s="180"/>
      <c r="I109" s="200"/>
      <c r="J109" s="200"/>
      <c r="K109" s="180"/>
      <c r="L109" s="201"/>
      <c r="M109" s="201"/>
    </row>
    <row r="110" spans="1:13" s="27" customFormat="1" hidden="1" x14ac:dyDescent="0.2">
      <c r="A110" s="28">
        <v>44774</v>
      </c>
      <c r="B110" s="287">
        <v>44804</v>
      </c>
      <c r="G110" s="180"/>
      <c r="H110" s="180"/>
      <c r="I110" s="200"/>
      <c r="J110" s="200"/>
      <c r="K110" s="180"/>
      <c r="L110" s="201"/>
      <c r="M110" s="201"/>
    </row>
    <row r="111" spans="1:13" s="27" customFormat="1" hidden="1" x14ac:dyDescent="0.2">
      <c r="A111" s="28">
        <v>44805</v>
      </c>
      <c r="B111" s="287">
        <v>44834</v>
      </c>
      <c r="G111" s="180"/>
      <c r="H111" s="180"/>
      <c r="I111" s="200"/>
      <c r="J111" s="200"/>
      <c r="K111" s="180"/>
      <c r="L111" s="201"/>
      <c r="M111" s="201"/>
    </row>
    <row r="112" spans="1:13" s="27" customFormat="1" hidden="1" x14ac:dyDescent="0.2">
      <c r="A112" s="28">
        <v>44835</v>
      </c>
      <c r="B112" s="287">
        <v>44865</v>
      </c>
      <c r="G112" s="180"/>
      <c r="H112" s="180"/>
      <c r="I112" s="200"/>
      <c r="J112" s="200"/>
      <c r="K112" s="180"/>
      <c r="L112" s="201"/>
      <c r="M112" s="201"/>
    </row>
    <row r="113" spans="1:16" s="27" customFormat="1" hidden="1" x14ac:dyDescent="0.2">
      <c r="A113" s="28"/>
      <c r="G113" s="180"/>
      <c r="H113" s="180"/>
      <c r="I113" s="200"/>
      <c r="J113" s="200"/>
      <c r="K113" s="180"/>
      <c r="L113" s="201"/>
      <c r="M113" s="201"/>
    </row>
    <row r="114" spans="1:16" s="27" customFormat="1" hidden="1" x14ac:dyDescent="0.2">
      <c r="A114" s="28" t="s">
        <v>174</v>
      </c>
      <c r="G114" s="180"/>
      <c r="H114" s="180"/>
      <c r="I114" s="200"/>
      <c r="J114" s="200"/>
      <c r="K114" s="180"/>
      <c r="L114" s="201"/>
      <c r="M114" s="201"/>
    </row>
    <row r="115" spans="1:16" s="27" customFormat="1" hidden="1" x14ac:dyDescent="0.2">
      <c r="A115" s="28" t="s">
        <v>175</v>
      </c>
      <c r="G115" s="180"/>
      <c r="H115" s="180"/>
      <c r="I115" s="200"/>
      <c r="J115" s="200"/>
      <c r="K115" s="180"/>
      <c r="L115" s="201"/>
      <c r="M115" s="201"/>
    </row>
    <row r="116" spans="1:16" s="27" customFormat="1" hidden="1" x14ac:dyDescent="0.2">
      <c r="A116" s="28"/>
      <c r="C116" s="27" t="s">
        <v>177</v>
      </c>
      <c r="E116" s="454"/>
      <c r="F116" s="468"/>
      <c r="G116" s="456" t="s">
        <v>228</v>
      </c>
      <c r="H116" s="456" t="s">
        <v>229</v>
      </c>
      <c r="I116" s="456" t="s">
        <v>230</v>
      </c>
      <c r="J116" s="456" t="s">
        <v>3</v>
      </c>
      <c r="K116" s="456" t="s">
        <v>231</v>
      </c>
      <c r="L116" s="457" t="s">
        <v>200</v>
      </c>
      <c r="M116" s="457" t="s">
        <v>233</v>
      </c>
      <c r="N116" s="457" t="s">
        <v>239</v>
      </c>
      <c r="O116" s="457" t="s">
        <v>242</v>
      </c>
      <c r="P116" s="457" t="s">
        <v>243</v>
      </c>
    </row>
    <row r="117" spans="1:16" s="27" customFormat="1" hidden="1" x14ac:dyDescent="0.2">
      <c r="A117" s="28"/>
      <c r="C117" s="27">
        <f>VLOOKUP(E4,$E$117:$F$130,2,0)</f>
        <v>1</v>
      </c>
      <c r="E117" s="459" t="s">
        <v>257</v>
      </c>
      <c r="F117" s="458">
        <v>1</v>
      </c>
      <c r="G117" s="455">
        <v>1</v>
      </c>
      <c r="H117" s="455">
        <v>1</v>
      </c>
      <c r="I117" s="455">
        <v>1</v>
      </c>
      <c r="J117" s="455">
        <v>1</v>
      </c>
      <c r="K117" s="455">
        <v>1</v>
      </c>
      <c r="L117" s="454">
        <v>0</v>
      </c>
      <c r="M117" s="454">
        <v>1</v>
      </c>
      <c r="N117" s="454">
        <v>0</v>
      </c>
      <c r="O117" s="454">
        <v>1</v>
      </c>
      <c r="P117" s="454">
        <v>0.33333000000000002</v>
      </c>
    </row>
    <row r="118" spans="1:16" s="27" customFormat="1" hidden="1" x14ac:dyDescent="0.2">
      <c r="A118" s="28"/>
      <c r="E118" s="459" t="s">
        <v>180</v>
      </c>
      <c r="F118" s="458">
        <v>2</v>
      </c>
      <c r="G118" s="455">
        <v>1</v>
      </c>
      <c r="H118" s="455">
        <v>1</v>
      </c>
      <c r="I118" s="455">
        <v>1</v>
      </c>
      <c r="J118" s="455">
        <v>1</v>
      </c>
      <c r="K118" s="455">
        <v>1</v>
      </c>
      <c r="L118" s="454">
        <v>1</v>
      </c>
      <c r="M118" s="454">
        <v>1</v>
      </c>
      <c r="N118" s="454">
        <v>0</v>
      </c>
      <c r="O118" s="454">
        <v>1</v>
      </c>
      <c r="P118" s="454">
        <v>0.33333000000000002</v>
      </c>
    </row>
    <row r="119" spans="1:16" s="27" customFormat="1" hidden="1" x14ac:dyDescent="0.2">
      <c r="A119" s="28"/>
      <c r="E119" s="459" t="s">
        <v>226</v>
      </c>
      <c r="F119" s="458">
        <v>3</v>
      </c>
      <c r="G119" s="455">
        <v>1</v>
      </c>
      <c r="H119" s="455">
        <v>1</v>
      </c>
      <c r="I119" s="455">
        <v>1</v>
      </c>
      <c r="J119" s="455">
        <v>1</v>
      </c>
      <c r="K119" s="455">
        <v>1</v>
      </c>
      <c r="L119" s="454">
        <v>0</v>
      </c>
      <c r="M119" s="454">
        <v>1</v>
      </c>
      <c r="N119" s="454">
        <v>0</v>
      </c>
      <c r="O119" s="454">
        <v>1</v>
      </c>
      <c r="P119" s="454">
        <v>0.33333000000000002</v>
      </c>
    </row>
    <row r="120" spans="1:16" s="27" customFormat="1" hidden="1" x14ac:dyDescent="0.2">
      <c r="A120" s="28"/>
      <c r="E120" s="459" t="s">
        <v>224</v>
      </c>
      <c r="F120" s="458">
        <v>4</v>
      </c>
      <c r="G120" s="455">
        <v>1</v>
      </c>
      <c r="H120" s="455">
        <v>1</v>
      </c>
      <c r="I120" s="455">
        <v>1</v>
      </c>
      <c r="J120" s="455">
        <v>1</v>
      </c>
      <c r="K120" s="455">
        <v>1</v>
      </c>
      <c r="L120" s="454">
        <v>1</v>
      </c>
      <c r="M120" s="454">
        <v>1</v>
      </c>
      <c r="N120" s="454">
        <v>0</v>
      </c>
      <c r="O120" s="454">
        <v>1</v>
      </c>
      <c r="P120" s="454">
        <v>0.33333000000000002</v>
      </c>
    </row>
    <row r="121" spans="1:16" s="27" customFormat="1" hidden="1" x14ac:dyDescent="0.2">
      <c r="A121" s="28"/>
      <c r="E121" s="459" t="s">
        <v>227</v>
      </c>
      <c r="F121" s="458">
        <v>5</v>
      </c>
      <c r="G121" s="455">
        <v>1</v>
      </c>
      <c r="H121" s="455">
        <v>1</v>
      </c>
      <c r="I121" s="455">
        <v>1</v>
      </c>
      <c r="J121" s="455">
        <v>1</v>
      </c>
      <c r="K121" s="455">
        <v>0</v>
      </c>
      <c r="L121" s="454">
        <v>1</v>
      </c>
      <c r="M121" s="454">
        <v>1</v>
      </c>
      <c r="N121" s="454">
        <v>1</v>
      </c>
      <c r="O121" s="454">
        <v>1</v>
      </c>
      <c r="P121" s="454">
        <v>0.33333000000000002</v>
      </c>
    </row>
    <row r="122" spans="1:16" s="27" customFormat="1" hidden="1" x14ac:dyDescent="0.2">
      <c r="A122" s="28"/>
      <c r="E122" s="459" t="s">
        <v>254</v>
      </c>
      <c r="F122" s="458">
        <v>6</v>
      </c>
      <c r="G122" s="455">
        <v>1</v>
      </c>
      <c r="H122" s="455">
        <v>1</v>
      </c>
      <c r="I122" s="455">
        <v>1</v>
      </c>
      <c r="J122" s="455">
        <v>1</v>
      </c>
      <c r="K122" s="455">
        <v>1</v>
      </c>
      <c r="L122" s="454">
        <v>1</v>
      </c>
      <c r="M122" s="454">
        <v>1</v>
      </c>
      <c r="N122" s="454">
        <v>0</v>
      </c>
      <c r="O122" s="454">
        <v>1</v>
      </c>
      <c r="P122" s="454">
        <v>0.33333000000000002</v>
      </c>
    </row>
    <row r="123" spans="1:16" s="27" customFormat="1" hidden="1" x14ac:dyDescent="0.2">
      <c r="A123" s="28"/>
      <c r="E123" s="459" t="s">
        <v>256</v>
      </c>
      <c r="F123" s="458">
        <v>7</v>
      </c>
      <c r="G123" s="455">
        <v>1</v>
      </c>
      <c r="H123" s="455">
        <v>1</v>
      </c>
      <c r="I123" s="455">
        <v>1</v>
      </c>
      <c r="J123" s="455">
        <v>1</v>
      </c>
      <c r="K123" s="455">
        <v>1</v>
      </c>
      <c r="L123" s="454">
        <v>1</v>
      </c>
      <c r="M123" s="454">
        <v>1</v>
      </c>
      <c r="N123" s="454">
        <v>0</v>
      </c>
      <c r="O123" s="454">
        <v>1</v>
      </c>
      <c r="P123" s="454">
        <v>0.33333000000000002</v>
      </c>
    </row>
    <row r="124" spans="1:16" s="27" customFormat="1" hidden="1" x14ac:dyDescent="0.2">
      <c r="A124" s="28"/>
      <c r="E124" s="459" t="s">
        <v>255</v>
      </c>
      <c r="F124" s="458">
        <v>8</v>
      </c>
      <c r="G124" s="455">
        <v>1</v>
      </c>
      <c r="H124" s="455">
        <v>1</v>
      </c>
      <c r="I124" s="455">
        <v>1</v>
      </c>
      <c r="J124" s="455">
        <v>1</v>
      </c>
      <c r="K124" s="455">
        <v>1</v>
      </c>
      <c r="L124" s="454">
        <v>1</v>
      </c>
      <c r="M124" s="454">
        <v>1</v>
      </c>
      <c r="N124" s="454">
        <v>0</v>
      </c>
      <c r="O124" s="454">
        <v>1</v>
      </c>
      <c r="P124" s="454">
        <v>0.33333000000000002</v>
      </c>
    </row>
    <row r="125" spans="1:16" s="27" customFormat="1" hidden="1" x14ac:dyDescent="0.2">
      <c r="A125" s="28"/>
      <c r="E125" s="459" t="s">
        <v>225</v>
      </c>
      <c r="F125" s="458">
        <v>9</v>
      </c>
      <c r="G125" s="455">
        <v>0</v>
      </c>
      <c r="H125" s="455">
        <v>0</v>
      </c>
      <c r="I125" s="455">
        <v>0</v>
      </c>
      <c r="J125" s="455">
        <v>1</v>
      </c>
      <c r="K125" s="455">
        <v>0</v>
      </c>
      <c r="L125" s="454">
        <v>0</v>
      </c>
      <c r="M125" s="454">
        <v>0</v>
      </c>
      <c r="N125" s="454">
        <v>0</v>
      </c>
      <c r="O125" s="454">
        <v>1</v>
      </c>
      <c r="P125" s="454">
        <v>0.33333000000000002</v>
      </c>
    </row>
    <row r="126" spans="1:16" s="27" customFormat="1" hidden="1" x14ac:dyDescent="0.2">
      <c r="A126" s="28"/>
      <c r="E126" s="459" t="s">
        <v>176</v>
      </c>
      <c r="F126" s="458">
        <v>10</v>
      </c>
      <c r="G126" s="455">
        <v>1</v>
      </c>
      <c r="H126" s="455">
        <v>1</v>
      </c>
      <c r="I126" s="455">
        <v>1</v>
      </c>
      <c r="J126" s="455">
        <v>1</v>
      </c>
      <c r="K126" s="455">
        <v>1</v>
      </c>
      <c r="L126" s="454">
        <v>0</v>
      </c>
      <c r="M126" s="454">
        <v>1</v>
      </c>
      <c r="N126" s="454">
        <v>0</v>
      </c>
      <c r="O126" s="454">
        <v>1</v>
      </c>
      <c r="P126" s="454">
        <v>0.33333000000000002</v>
      </c>
    </row>
    <row r="127" spans="1:16" s="27" customFormat="1" hidden="1" x14ac:dyDescent="0.2">
      <c r="A127" s="28"/>
      <c r="E127" s="459" t="s">
        <v>213</v>
      </c>
      <c r="F127" s="458">
        <v>11</v>
      </c>
      <c r="G127" s="455">
        <v>1</v>
      </c>
      <c r="H127" s="455">
        <v>1</v>
      </c>
      <c r="I127" s="455">
        <v>1</v>
      </c>
      <c r="J127" s="455">
        <v>1</v>
      </c>
      <c r="K127" s="455">
        <v>1</v>
      </c>
      <c r="L127" s="454">
        <v>0</v>
      </c>
      <c r="M127" s="454">
        <v>1</v>
      </c>
      <c r="N127" s="454">
        <v>0</v>
      </c>
      <c r="O127" s="454">
        <v>1</v>
      </c>
      <c r="P127" s="454">
        <v>0.33333000000000002</v>
      </c>
    </row>
    <row r="128" spans="1:16" s="27" customFormat="1" hidden="1" x14ac:dyDescent="0.2">
      <c r="A128" s="28"/>
      <c r="E128" s="459" t="s">
        <v>240</v>
      </c>
      <c r="F128" s="458">
        <v>12</v>
      </c>
      <c r="G128" s="455">
        <v>1</v>
      </c>
      <c r="H128" s="455">
        <v>1</v>
      </c>
      <c r="I128" s="455">
        <v>1</v>
      </c>
      <c r="J128" s="455">
        <v>1</v>
      </c>
      <c r="K128" s="455">
        <v>1</v>
      </c>
      <c r="L128" s="454">
        <v>0</v>
      </c>
      <c r="M128" s="454">
        <v>1</v>
      </c>
      <c r="N128" s="454">
        <v>0</v>
      </c>
      <c r="O128" s="454">
        <v>1</v>
      </c>
      <c r="P128" s="454">
        <v>0.33333000000000002</v>
      </c>
    </row>
    <row r="129" spans="1:16" s="27" customFormat="1" hidden="1" x14ac:dyDescent="0.2">
      <c r="A129" s="28"/>
      <c r="E129" s="459" t="s">
        <v>258</v>
      </c>
      <c r="F129" s="458">
        <v>13</v>
      </c>
      <c r="G129" s="455">
        <v>1</v>
      </c>
      <c r="H129" s="455">
        <v>1</v>
      </c>
      <c r="I129" s="455">
        <v>1</v>
      </c>
      <c r="J129" s="455">
        <v>1</v>
      </c>
      <c r="K129" s="455">
        <v>0</v>
      </c>
      <c r="L129" s="454">
        <v>1</v>
      </c>
      <c r="M129" s="454">
        <v>1</v>
      </c>
      <c r="N129" s="454">
        <v>1</v>
      </c>
      <c r="O129" s="454">
        <v>1</v>
      </c>
      <c r="P129" s="454">
        <v>0.33333000000000002</v>
      </c>
    </row>
    <row r="130" spans="1:16" s="27" customFormat="1" hidden="1" x14ac:dyDescent="0.2">
      <c r="A130" s="28"/>
      <c r="E130" s="459" t="s">
        <v>241</v>
      </c>
      <c r="F130" s="458">
        <v>14</v>
      </c>
      <c r="G130" s="455">
        <v>1</v>
      </c>
      <c r="H130" s="455">
        <v>1</v>
      </c>
      <c r="I130" s="455">
        <v>1</v>
      </c>
      <c r="J130" s="455">
        <v>1</v>
      </c>
      <c r="K130" s="455">
        <v>0</v>
      </c>
      <c r="L130" s="454">
        <v>1</v>
      </c>
      <c r="M130" s="454">
        <v>0</v>
      </c>
      <c r="N130" s="454">
        <v>1</v>
      </c>
      <c r="O130" s="454">
        <v>0</v>
      </c>
      <c r="P130" s="454">
        <v>0.33333000000000002</v>
      </c>
    </row>
    <row r="131" spans="1:16" hidden="1" x14ac:dyDescent="0.2">
      <c r="A131" s="29"/>
      <c r="E131" s="459" t="s">
        <v>232</v>
      </c>
      <c r="F131" s="458">
        <v>15</v>
      </c>
      <c r="G131" s="455">
        <v>0</v>
      </c>
      <c r="H131" s="455">
        <v>1</v>
      </c>
      <c r="I131" s="455">
        <v>1</v>
      </c>
      <c r="J131" s="455">
        <v>1</v>
      </c>
      <c r="K131" s="455">
        <v>0</v>
      </c>
      <c r="L131" s="454">
        <v>0</v>
      </c>
      <c r="M131" s="454">
        <v>0</v>
      </c>
      <c r="N131" s="454">
        <v>0</v>
      </c>
      <c r="O131" s="454">
        <v>1</v>
      </c>
      <c r="P131" s="454">
        <v>0.33333000000000002</v>
      </c>
    </row>
    <row r="132" spans="1:16" hidden="1" x14ac:dyDescent="0.2">
      <c r="A132" s="29"/>
    </row>
    <row r="133" spans="1:16" hidden="1" x14ac:dyDescent="0.2">
      <c r="A133" s="29"/>
    </row>
    <row r="134" spans="1:16" hidden="1" x14ac:dyDescent="0.2">
      <c r="A134" s="29"/>
    </row>
    <row r="135" spans="1:16" hidden="1" x14ac:dyDescent="0.2">
      <c r="A135" s="29"/>
    </row>
    <row r="136" spans="1:16" hidden="1" x14ac:dyDescent="0.2">
      <c r="A136" s="29"/>
    </row>
    <row r="137" spans="1:16" hidden="1" x14ac:dyDescent="0.2">
      <c r="A137" s="29"/>
    </row>
    <row r="138" spans="1:16" hidden="1" x14ac:dyDescent="0.2">
      <c r="A138" s="29"/>
    </row>
    <row r="139" spans="1:16" ht="1.5" hidden="1" customHeight="1" x14ac:dyDescent="0.2">
      <c r="A139" s="29"/>
    </row>
    <row r="140" spans="1:16" hidden="1" x14ac:dyDescent="0.2">
      <c r="A140" s="29"/>
    </row>
    <row r="141" spans="1:16" x14ac:dyDescent="0.2">
      <c r="A141" s="29"/>
    </row>
    <row r="142" spans="1:16" x14ac:dyDescent="0.2">
      <c r="A142" s="29"/>
    </row>
    <row r="143" spans="1:16" x14ac:dyDescent="0.2">
      <c r="A143" s="29"/>
    </row>
    <row r="144" spans="1:16" x14ac:dyDescent="0.2">
      <c r="A144" s="29"/>
    </row>
    <row r="145" spans="1:1" x14ac:dyDescent="0.2">
      <c r="A145" s="29"/>
    </row>
    <row r="146" spans="1:1" x14ac:dyDescent="0.2">
      <c r="A146" s="29"/>
    </row>
    <row r="147" spans="1:1" x14ac:dyDescent="0.2">
      <c r="A147" s="29"/>
    </row>
    <row r="148" spans="1:1" x14ac:dyDescent="0.2">
      <c r="A148" s="29"/>
    </row>
    <row r="149" spans="1:1" x14ac:dyDescent="0.2">
      <c r="A149" s="29"/>
    </row>
    <row r="150" spans="1:1" x14ac:dyDescent="0.2">
      <c r="A150" s="29"/>
    </row>
    <row r="151" spans="1:1" x14ac:dyDescent="0.2">
      <c r="A151" s="29"/>
    </row>
    <row r="152" spans="1:1" x14ac:dyDescent="0.2">
      <c r="A152" s="29"/>
    </row>
    <row r="153" spans="1:1" x14ac:dyDescent="0.2">
      <c r="A153" s="29"/>
    </row>
    <row r="154" spans="1:1" x14ac:dyDescent="0.2">
      <c r="A154" s="29"/>
    </row>
    <row r="155" spans="1:1" x14ac:dyDescent="0.2">
      <c r="A155" s="29"/>
    </row>
    <row r="156" spans="1:1" x14ac:dyDescent="0.2">
      <c r="A156" s="29"/>
    </row>
    <row r="157" spans="1:1" x14ac:dyDescent="0.2">
      <c r="A157" s="29"/>
    </row>
    <row r="158" spans="1:1" x14ac:dyDescent="0.2">
      <c r="A158" s="29"/>
    </row>
    <row r="159" spans="1:1" x14ac:dyDescent="0.2">
      <c r="A159" s="29"/>
    </row>
    <row r="160" spans="1:1" x14ac:dyDescent="0.2">
      <c r="A160" s="29"/>
    </row>
    <row r="161" spans="1:1" x14ac:dyDescent="0.2">
      <c r="A161" s="29"/>
    </row>
    <row r="162" spans="1:1" x14ac:dyDescent="0.2">
      <c r="A162" s="29"/>
    </row>
    <row r="163" spans="1:1" x14ac:dyDescent="0.2">
      <c r="A163" s="29"/>
    </row>
    <row r="164" spans="1:1" x14ac:dyDescent="0.2">
      <c r="A164" s="29"/>
    </row>
    <row r="165" spans="1:1" x14ac:dyDescent="0.2">
      <c r="A165" s="29"/>
    </row>
    <row r="166" spans="1:1" x14ac:dyDescent="0.2">
      <c r="A166" s="29"/>
    </row>
    <row r="167" spans="1:1" x14ac:dyDescent="0.2">
      <c r="A167" s="29"/>
    </row>
    <row r="168" spans="1:1" x14ac:dyDescent="0.2">
      <c r="A168" s="29"/>
    </row>
    <row r="169" spans="1:1" x14ac:dyDescent="0.2">
      <c r="A169" s="29"/>
    </row>
    <row r="170" spans="1:1" x14ac:dyDescent="0.2">
      <c r="A170" s="29"/>
    </row>
    <row r="171" spans="1:1" x14ac:dyDescent="0.2">
      <c r="A171" s="29"/>
    </row>
    <row r="172" spans="1:1" x14ac:dyDescent="0.2">
      <c r="A172" s="29"/>
    </row>
    <row r="173" spans="1:1" x14ac:dyDescent="0.2">
      <c r="A173" s="29"/>
    </row>
    <row r="174" spans="1:1" x14ac:dyDescent="0.2">
      <c r="A174" s="29"/>
    </row>
    <row r="175" spans="1:1" x14ac:dyDescent="0.2">
      <c r="A175" s="29"/>
    </row>
    <row r="176" spans="1:1" x14ac:dyDescent="0.2">
      <c r="A176" s="29"/>
    </row>
    <row r="177" spans="1:1" x14ac:dyDescent="0.2">
      <c r="A177" s="29"/>
    </row>
    <row r="178" spans="1:1" x14ac:dyDescent="0.2">
      <c r="A178" s="29"/>
    </row>
    <row r="179" spans="1:1" x14ac:dyDescent="0.2">
      <c r="A179" s="29"/>
    </row>
    <row r="180" spans="1:1" x14ac:dyDescent="0.2">
      <c r="A180" s="29"/>
    </row>
    <row r="181" spans="1:1" x14ac:dyDescent="0.2">
      <c r="A181" s="29"/>
    </row>
    <row r="182" spans="1:1" x14ac:dyDescent="0.2">
      <c r="A182" s="29"/>
    </row>
    <row r="183" spans="1:1" x14ac:dyDescent="0.2">
      <c r="A183" s="29"/>
    </row>
    <row r="184" spans="1:1" x14ac:dyDescent="0.2">
      <c r="A184" s="29"/>
    </row>
    <row r="185" spans="1:1" x14ac:dyDescent="0.2">
      <c r="A185" s="29"/>
    </row>
    <row r="186" spans="1:1" x14ac:dyDescent="0.2">
      <c r="A186" s="29"/>
    </row>
    <row r="187" spans="1:1" x14ac:dyDescent="0.2">
      <c r="A187" s="29"/>
    </row>
    <row r="188" spans="1:1" x14ac:dyDescent="0.2">
      <c r="A188" s="29"/>
    </row>
    <row r="189" spans="1:1" x14ac:dyDescent="0.2">
      <c r="A189" s="29"/>
    </row>
    <row r="190" spans="1:1" x14ac:dyDescent="0.2">
      <c r="A190" s="29"/>
    </row>
    <row r="191" spans="1:1" x14ac:dyDescent="0.2">
      <c r="A191" s="29"/>
    </row>
    <row r="192" spans="1:1" x14ac:dyDescent="0.2">
      <c r="A192" s="29"/>
    </row>
    <row r="193" spans="1:1" x14ac:dyDescent="0.2">
      <c r="A193" s="29"/>
    </row>
    <row r="194" spans="1:1" x14ac:dyDescent="0.2">
      <c r="A194" s="29"/>
    </row>
    <row r="195" spans="1:1" x14ac:dyDescent="0.2">
      <c r="A195" s="29"/>
    </row>
    <row r="196" spans="1:1" x14ac:dyDescent="0.2">
      <c r="A196" s="29"/>
    </row>
    <row r="197" spans="1:1" x14ac:dyDescent="0.2">
      <c r="A197" s="29"/>
    </row>
    <row r="198" spans="1:1" x14ac:dyDescent="0.2">
      <c r="A198" s="29"/>
    </row>
    <row r="199" spans="1:1" x14ac:dyDescent="0.2">
      <c r="A199" s="29"/>
    </row>
    <row r="200" spans="1:1" x14ac:dyDescent="0.2">
      <c r="A200" s="29"/>
    </row>
    <row r="201" spans="1:1" x14ac:dyDescent="0.2">
      <c r="A201" s="29"/>
    </row>
    <row r="202" spans="1:1" x14ac:dyDescent="0.2">
      <c r="A202" s="29"/>
    </row>
    <row r="203" spans="1:1" x14ac:dyDescent="0.2">
      <c r="A203" s="29"/>
    </row>
    <row r="204" spans="1:1" x14ac:dyDescent="0.2">
      <c r="A204" s="29"/>
    </row>
    <row r="205" spans="1:1" x14ac:dyDescent="0.2">
      <c r="A205" s="29"/>
    </row>
    <row r="206" spans="1:1" x14ac:dyDescent="0.2">
      <c r="A206" s="29"/>
    </row>
    <row r="207" spans="1:1" x14ac:dyDescent="0.2">
      <c r="A207" s="29"/>
    </row>
    <row r="208" spans="1:1" x14ac:dyDescent="0.2">
      <c r="A208" s="29"/>
    </row>
    <row r="209" spans="1:1" x14ac:dyDescent="0.2">
      <c r="A209" s="29"/>
    </row>
    <row r="210" spans="1:1" x14ac:dyDescent="0.2">
      <c r="A210" s="29"/>
    </row>
    <row r="211" spans="1:1" x14ac:dyDescent="0.2">
      <c r="A211" s="29"/>
    </row>
    <row r="212" spans="1:1" x14ac:dyDescent="0.2">
      <c r="A212" s="29"/>
    </row>
    <row r="213" spans="1:1" x14ac:dyDescent="0.2">
      <c r="A213" s="29"/>
    </row>
    <row r="214" spans="1:1" x14ac:dyDescent="0.2">
      <c r="A214" s="29"/>
    </row>
    <row r="215" spans="1:1" x14ac:dyDescent="0.2">
      <c r="A215" s="29"/>
    </row>
    <row r="216" spans="1:1" x14ac:dyDescent="0.2">
      <c r="A216" s="29"/>
    </row>
    <row r="217" spans="1:1" x14ac:dyDescent="0.2">
      <c r="A217" s="29"/>
    </row>
    <row r="218" spans="1:1" x14ac:dyDescent="0.2">
      <c r="A218" s="29"/>
    </row>
    <row r="219" spans="1:1" x14ac:dyDescent="0.2">
      <c r="A219" s="29"/>
    </row>
    <row r="220" spans="1:1" x14ac:dyDescent="0.2">
      <c r="A220" s="29"/>
    </row>
    <row r="221" spans="1:1" x14ac:dyDescent="0.2">
      <c r="A221" s="29"/>
    </row>
    <row r="222" spans="1:1" x14ac:dyDescent="0.2">
      <c r="A222" s="29"/>
    </row>
    <row r="223" spans="1:1" x14ac:dyDescent="0.2">
      <c r="A223" s="29"/>
    </row>
    <row r="224" spans="1:1" x14ac:dyDescent="0.2">
      <c r="A224" s="29"/>
    </row>
    <row r="225" spans="1:1" x14ac:dyDescent="0.2">
      <c r="A225" s="29"/>
    </row>
    <row r="226" spans="1:1" x14ac:dyDescent="0.2">
      <c r="A226" s="29"/>
    </row>
    <row r="227" spans="1:1" x14ac:dyDescent="0.2">
      <c r="A227" s="29"/>
    </row>
    <row r="228" spans="1:1" x14ac:dyDescent="0.2">
      <c r="A228" s="29"/>
    </row>
    <row r="229" spans="1:1" x14ac:dyDescent="0.2">
      <c r="A229" s="29"/>
    </row>
    <row r="230" spans="1:1" x14ac:dyDescent="0.2">
      <c r="A230" s="29"/>
    </row>
    <row r="231" spans="1:1" x14ac:dyDescent="0.2">
      <c r="A231" s="29"/>
    </row>
    <row r="232" spans="1:1" x14ac:dyDescent="0.2">
      <c r="A232" s="29"/>
    </row>
    <row r="233" spans="1:1" x14ac:dyDescent="0.2">
      <c r="A233" s="29"/>
    </row>
    <row r="234" spans="1:1" x14ac:dyDescent="0.2">
      <c r="A234" s="29"/>
    </row>
    <row r="235" spans="1:1" x14ac:dyDescent="0.2">
      <c r="A235" s="29"/>
    </row>
    <row r="236" spans="1:1" x14ac:dyDescent="0.2">
      <c r="A236" s="29"/>
    </row>
    <row r="237" spans="1:1" x14ac:dyDescent="0.2">
      <c r="A237" s="29"/>
    </row>
    <row r="238" spans="1:1" x14ac:dyDescent="0.2">
      <c r="A238" s="29"/>
    </row>
    <row r="239" spans="1:1" x14ac:dyDescent="0.2">
      <c r="A239" s="29"/>
    </row>
    <row r="240" spans="1:1" x14ac:dyDescent="0.2">
      <c r="A240" s="29"/>
    </row>
    <row r="241" spans="1:1" x14ac:dyDescent="0.2">
      <c r="A241" s="29"/>
    </row>
    <row r="242" spans="1:1" x14ac:dyDescent="0.2">
      <c r="A242" s="29"/>
    </row>
    <row r="243" spans="1:1" x14ac:dyDescent="0.2">
      <c r="A243" s="29"/>
    </row>
    <row r="244" spans="1:1" x14ac:dyDescent="0.2">
      <c r="A244" s="29"/>
    </row>
    <row r="245" spans="1:1" x14ac:dyDescent="0.2">
      <c r="A245" s="29"/>
    </row>
    <row r="246" spans="1:1" x14ac:dyDescent="0.2">
      <c r="A246" s="29"/>
    </row>
    <row r="247" spans="1:1" x14ac:dyDescent="0.2">
      <c r="A247" s="29"/>
    </row>
    <row r="248" spans="1:1" x14ac:dyDescent="0.2">
      <c r="A248" s="29"/>
    </row>
    <row r="249" spans="1:1" x14ac:dyDescent="0.2">
      <c r="A249" s="29"/>
    </row>
    <row r="250" spans="1:1" x14ac:dyDescent="0.2">
      <c r="A250" s="29"/>
    </row>
    <row r="251" spans="1:1" x14ac:dyDescent="0.2">
      <c r="A251" s="29"/>
    </row>
    <row r="252" spans="1:1" x14ac:dyDescent="0.2">
      <c r="A252" s="29"/>
    </row>
    <row r="253" spans="1:1" x14ac:dyDescent="0.2">
      <c r="A253" s="29"/>
    </row>
    <row r="254" spans="1:1" x14ac:dyDescent="0.2">
      <c r="A254" s="29"/>
    </row>
    <row r="255" spans="1:1" x14ac:dyDescent="0.2">
      <c r="A255" s="29"/>
    </row>
    <row r="256" spans="1:1" x14ac:dyDescent="0.2">
      <c r="A256" s="29"/>
    </row>
    <row r="257" spans="1:1" x14ac:dyDescent="0.2">
      <c r="A257" s="29"/>
    </row>
    <row r="258" spans="1:1" x14ac:dyDescent="0.2">
      <c r="A258" s="29"/>
    </row>
    <row r="259" spans="1:1" x14ac:dyDescent="0.2">
      <c r="A259" s="29"/>
    </row>
    <row r="260" spans="1:1" x14ac:dyDescent="0.2">
      <c r="A260" s="29"/>
    </row>
    <row r="261" spans="1:1" x14ac:dyDescent="0.2">
      <c r="A261" s="29"/>
    </row>
    <row r="262" spans="1:1" x14ac:dyDescent="0.2">
      <c r="A262" s="29"/>
    </row>
    <row r="263" spans="1:1" x14ac:dyDescent="0.2">
      <c r="A263" s="29"/>
    </row>
    <row r="264" spans="1:1" x14ac:dyDescent="0.2">
      <c r="A264" s="29"/>
    </row>
    <row r="265" spans="1:1" x14ac:dyDescent="0.2">
      <c r="A265" s="29"/>
    </row>
    <row r="266" spans="1:1" x14ac:dyDescent="0.2">
      <c r="A266" s="29"/>
    </row>
    <row r="267" spans="1:1" x14ac:dyDescent="0.2">
      <c r="A267" s="29"/>
    </row>
    <row r="268" spans="1:1" x14ac:dyDescent="0.2">
      <c r="A268" s="29"/>
    </row>
    <row r="269" spans="1:1" x14ac:dyDescent="0.2">
      <c r="A269" s="29"/>
    </row>
    <row r="270" spans="1:1" x14ac:dyDescent="0.2">
      <c r="A270" s="29"/>
    </row>
    <row r="271" spans="1:1" x14ac:dyDescent="0.2">
      <c r="A271" s="29"/>
    </row>
    <row r="272" spans="1:1" x14ac:dyDescent="0.2">
      <c r="A272" s="29"/>
    </row>
    <row r="273" spans="1:1" x14ac:dyDescent="0.2">
      <c r="A273" s="29"/>
    </row>
    <row r="274" spans="1:1" x14ac:dyDescent="0.2">
      <c r="A274" s="29"/>
    </row>
    <row r="275" spans="1:1" x14ac:dyDescent="0.2">
      <c r="A275" s="29"/>
    </row>
    <row r="276" spans="1:1" x14ac:dyDescent="0.2">
      <c r="A276" s="29"/>
    </row>
    <row r="277" spans="1:1" x14ac:dyDescent="0.2">
      <c r="A277" s="29"/>
    </row>
    <row r="278" spans="1:1" x14ac:dyDescent="0.2">
      <c r="A278" s="29"/>
    </row>
    <row r="279" spans="1:1" x14ac:dyDescent="0.2">
      <c r="A279" s="29"/>
    </row>
    <row r="280" spans="1:1" x14ac:dyDescent="0.2">
      <c r="A280" s="29"/>
    </row>
    <row r="281" spans="1:1" x14ac:dyDescent="0.2">
      <c r="A281" s="29"/>
    </row>
    <row r="282" spans="1:1" x14ac:dyDescent="0.2">
      <c r="A282" s="29"/>
    </row>
    <row r="283" spans="1:1" x14ac:dyDescent="0.2">
      <c r="A283" s="29"/>
    </row>
    <row r="284" spans="1:1" x14ac:dyDescent="0.2">
      <c r="A284" s="29"/>
    </row>
    <row r="285" spans="1:1" x14ac:dyDescent="0.2">
      <c r="A285" s="29"/>
    </row>
    <row r="286" spans="1:1" x14ac:dyDescent="0.2">
      <c r="A286" s="29"/>
    </row>
    <row r="287" spans="1:1" x14ac:dyDescent="0.2">
      <c r="A287" s="29"/>
    </row>
    <row r="288" spans="1:1" x14ac:dyDescent="0.2">
      <c r="A288" s="29"/>
    </row>
    <row r="289" spans="1:1" x14ac:dyDescent="0.2">
      <c r="A289" s="29"/>
    </row>
    <row r="290" spans="1:1" x14ac:dyDescent="0.2">
      <c r="A290" s="29"/>
    </row>
    <row r="291" spans="1:1" x14ac:dyDescent="0.2">
      <c r="A291" s="29"/>
    </row>
    <row r="292" spans="1:1" x14ac:dyDescent="0.2">
      <c r="A292" s="29"/>
    </row>
    <row r="293" spans="1:1" x14ac:dyDescent="0.2">
      <c r="A293" s="29"/>
    </row>
    <row r="294" spans="1:1" x14ac:dyDescent="0.2">
      <c r="A294" s="29"/>
    </row>
    <row r="295" spans="1:1" x14ac:dyDescent="0.2">
      <c r="A295" s="29"/>
    </row>
    <row r="296" spans="1:1" x14ac:dyDescent="0.2">
      <c r="A296" s="29"/>
    </row>
    <row r="297" spans="1:1" x14ac:dyDescent="0.2">
      <c r="A297" s="29"/>
    </row>
    <row r="298" spans="1:1" x14ac:dyDescent="0.2">
      <c r="A298" s="29"/>
    </row>
    <row r="299" spans="1:1" x14ac:dyDescent="0.2">
      <c r="A299" s="29"/>
    </row>
    <row r="300" spans="1:1" x14ac:dyDescent="0.2">
      <c r="A300" s="29"/>
    </row>
    <row r="301" spans="1:1" x14ac:dyDescent="0.2">
      <c r="A301" s="29"/>
    </row>
    <row r="302" spans="1:1" x14ac:dyDescent="0.2">
      <c r="A302" s="29"/>
    </row>
    <row r="303" spans="1:1" x14ac:dyDescent="0.2">
      <c r="A303" s="29"/>
    </row>
    <row r="304" spans="1:1" x14ac:dyDescent="0.2">
      <c r="A304" s="29"/>
    </row>
    <row r="305" spans="1:1" x14ac:dyDescent="0.2">
      <c r="A305" s="29"/>
    </row>
    <row r="306" spans="1:1" x14ac:dyDescent="0.2">
      <c r="A306" s="29"/>
    </row>
    <row r="307" spans="1:1" x14ac:dyDescent="0.2">
      <c r="A307" s="29"/>
    </row>
    <row r="308" spans="1:1" x14ac:dyDescent="0.2">
      <c r="A308" s="29"/>
    </row>
    <row r="309" spans="1:1" x14ac:dyDescent="0.2">
      <c r="A309" s="29"/>
    </row>
    <row r="310" spans="1:1" x14ac:dyDescent="0.2">
      <c r="A310" s="29"/>
    </row>
    <row r="311" spans="1:1" x14ac:dyDescent="0.2">
      <c r="A311" s="29"/>
    </row>
    <row r="312" spans="1:1" x14ac:dyDescent="0.2">
      <c r="A312" s="29"/>
    </row>
    <row r="313" spans="1:1" x14ac:dyDescent="0.2">
      <c r="A313" s="29"/>
    </row>
    <row r="314" spans="1:1" x14ac:dyDescent="0.2">
      <c r="A314" s="29"/>
    </row>
    <row r="315" spans="1:1" x14ac:dyDescent="0.2">
      <c r="A315" s="29"/>
    </row>
    <row r="316" spans="1:1" x14ac:dyDescent="0.2">
      <c r="A316" s="29"/>
    </row>
    <row r="317" spans="1:1" x14ac:dyDescent="0.2">
      <c r="A317" s="29"/>
    </row>
    <row r="318" spans="1:1" x14ac:dyDescent="0.2">
      <c r="A318" s="29"/>
    </row>
    <row r="319" spans="1:1" x14ac:dyDescent="0.2">
      <c r="A319" s="29"/>
    </row>
    <row r="320" spans="1:1" x14ac:dyDescent="0.2">
      <c r="A320" s="29"/>
    </row>
    <row r="321" spans="1:1" x14ac:dyDescent="0.2">
      <c r="A321" s="29"/>
    </row>
    <row r="322" spans="1:1" x14ac:dyDescent="0.2">
      <c r="A322" s="29"/>
    </row>
    <row r="323" spans="1:1" x14ac:dyDescent="0.2">
      <c r="A323" s="29"/>
    </row>
    <row r="324" spans="1:1" x14ac:dyDescent="0.2">
      <c r="A324" s="29"/>
    </row>
    <row r="325" spans="1:1" x14ac:dyDescent="0.2">
      <c r="A325" s="29"/>
    </row>
    <row r="326" spans="1:1" x14ac:dyDescent="0.2">
      <c r="A326" s="29"/>
    </row>
    <row r="327" spans="1:1" x14ac:dyDescent="0.2">
      <c r="A327" s="29"/>
    </row>
    <row r="328" spans="1:1" x14ac:dyDescent="0.2">
      <c r="A328" s="29"/>
    </row>
    <row r="329" spans="1:1" x14ac:dyDescent="0.2">
      <c r="A329" s="29"/>
    </row>
    <row r="330" spans="1:1" x14ac:dyDescent="0.2">
      <c r="A330" s="29"/>
    </row>
    <row r="331" spans="1:1" x14ac:dyDescent="0.2">
      <c r="A331" s="29"/>
    </row>
    <row r="332" spans="1:1" x14ac:dyDescent="0.2">
      <c r="A332" s="29"/>
    </row>
    <row r="333" spans="1:1" x14ac:dyDescent="0.2">
      <c r="A333" s="29"/>
    </row>
    <row r="334" spans="1:1" x14ac:dyDescent="0.2">
      <c r="A334" s="29"/>
    </row>
    <row r="335" spans="1:1" x14ac:dyDescent="0.2">
      <c r="A335" s="29"/>
    </row>
    <row r="336" spans="1:1" x14ac:dyDescent="0.2">
      <c r="A336" s="29"/>
    </row>
    <row r="337" spans="1:1" x14ac:dyDescent="0.2">
      <c r="A337" s="29"/>
    </row>
    <row r="338" spans="1:1" x14ac:dyDescent="0.2">
      <c r="A338" s="29"/>
    </row>
    <row r="339" spans="1:1" x14ac:dyDescent="0.2">
      <c r="A339" s="29"/>
    </row>
    <row r="340" spans="1:1" x14ac:dyDescent="0.2">
      <c r="A340" s="29"/>
    </row>
    <row r="341" spans="1:1" x14ac:dyDescent="0.2">
      <c r="A341" s="29"/>
    </row>
    <row r="342" spans="1:1" x14ac:dyDescent="0.2">
      <c r="A342" s="29"/>
    </row>
    <row r="343" spans="1:1" x14ac:dyDescent="0.2">
      <c r="A343" s="29"/>
    </row>
    <row r="344" spans="1:1" x14ac:dyDescent="0.2">
      <c r="A344" s="29"/>
    </row>
    <row r="345" spans="1:1" x14ac:dyDescent="0.2">
      <c r="A345" s="29"/>
    </row>
    <row r="346" spans="1:1" x14ac:dyDescent="0.2">
      <c r="A346" s="29"/>
    </row>
    <row r="347" spans="1:1" x14ac:dyDescent="0.2">
      <c r="A347" s="29"/>
    </row>
    <row r="348" spans="1:1" x14ac:dyDescent="0.2">
      <c r="A348" s="29"/>
    </row>
    <row r="349" spans="1:1" x14ac:dyDescent="0.2">
      <c r="A349" s="29"/>
    </row>
    <row r="350" spans="1:1" x14ac:dyDescent="0.2">
      <c r="A350" s="29"/>
    </row>
    <row r="351" spans="1:1" x14ac:dyDescent="0.2">
      <c r="A351" s="29"/>
    </row>
    <row r="352" spans="1:1" x14ac:dyDescent="0.2">
      <c r="A352" s="29"/>
    </row>
    <row r="353" spans="1:1" x14ac:dyDescent="0.2">
      <c r="A353" s="29"/>
    </row>
    <row r="354" spans="1:1" x14ac:dyDescent="0.2">
      <c r="A354" s="29"/>
    </row>
    <row r="355" spans="1:1" x14ac:dyDescent="0.2">
      <c r="A355" s="29"/>
    </row>
    <row r="356" spans="1:1" x14ac:dyDescent="0.2">
      <c r="A356" s="29"/>
    </row>
    <row r="357" spans="1:1" x14ac:dyDescent="0.2">
      <c r="A357" s="29"/>
    </row>
    <row r="358" spans="1:1" x14ac:dyDescent="0.2">
      <c r="A358" s="29"/>
    </row>
    <row r="359" spans="1:1" x14ac:dyDescent="0.2">
      <c r="A359" s="29"/>
    </row>
    <row r="360" spans="1:1" x14ac:dyDescent="0.2">
      <c r="A360" s="29"/>
    </row>
    <row r="361" spans="1:1" x14ac:dyDescent="0.2">
      <c r="A361" s="29"/>
    </row>
    <row r="362" spans="1:1" x14ac:dyDescent="0.2">
      <c r="A362" s="29"/>
    </row>
    <row r="363" spans="1:1" x14ac:dyDescent="0.2">
      <c r="A363" s="29"/>
    </row>
    <row r="364" spans="1:1" x14ac:dyDescent="0.2">
      <c r="A364" s="29"/>
    </row>
    <row r="365" spans="1:1" x14ac:dyDescent="0.2">
      <c r="A365" s="29"/>
    </row>
    <row r="366" spans="1:1" x14ac:dyDescent="0.2">
      <c r="A366" s="29"/>
    </row>
    <row r="367" spans="1:1" x14ac:dyDescent="0.2">
      <c r="A367" s="29"/>
    </row>
    <row r="368" spans="1:1" x14ac:dyDescent="0.2">
      <c r="A368" s="29"/>
    </row>
    <row r="369" spans="1:1" x14ac:dyDescent="0.2">
      <c r="A369" s="29"/>
    </row>
    <row r="370" spans="1:1" x14ac:dyDescent="0.2">
      <c r="A370" s="29"/>
    </row>
    <row r="371" spans="1:1" x14ac:dyDescent="0.2">
      <c r="A371" s="29"/>
    </row>
    <row r="372" spans="1:1" x14ac:dyDescent="0.2">
      <c r="A372" s="29"/>
    </row>
    <row r="373" spans="1:1" x14ac:dyDescent="0.2">
      <c r="A373" s="29"/>
    </row>
    <row r="374" spans="1:1" x14ac:dyDescent="0.2">
      <c r="A374" s="29"/>
    </row>
    <row r="375" spans="1:1" x14ac:dyDescent="0.2">
      <c r="A375" s="29"/>
    </row>
    <row r="376" spans="1:1" x14ac:dyDescent="0.2">
      <c r="A376" s="29"/>
    </row>
    <row r="377" spans="1:1" x14ac:dyDescent="0.2">
      <c r="A377" s="29"/>
    </row>
    <row r="378" spans="1:1" x14ac:dyDescent="0.2">
      <c r="A378" s="29"/>
    </row>
    <row r="379" spans="1:1" x14ac:dyDescent="0.2">
      <c r="A379" s="29"/>
    </row>
    <row r="380" spans="1:1" x14ac:dyDescent="0.2">
      <c r="A380" s="29"/>
    </row>
    <row r="381" spans="1:1" x14ac:dyDescent="0.2">
      <c r="A381" s="29"/>
    </row>
    <row r="382" spans="1:1" x14ac:dyDescent="0.2">
      <c r="A382" s="29"/>
    </row>
    <row r="383" spans="1:1" x14ac:dyDescent="0.2">
      <c r="A383" s="29"/>
    </row>
    <row r="384" spans="1:1" x14ac:dyDescent="0.2">
      <c r="A384" s="29"/>
    </row>
    <row r="385" spans="1:1" x14ac:dyDescent="0.2">
      <c r="A385" s="29"/>
    </row>
    <row r="386" spans="1:1" x14ac:dyDescent="0.2">
      <c r="A386" s="29"/>
    </row>
  </sheetData>
  <sheetProtection password="CAD0" sheet="1" objects="1" scenarios="1"/>
  <customSheetViews>
    <customSheetView guid="{0C0A7354-1E68-4AF0-8238-6CB67405E9AA}" showRuler="0">
      <selection activeCell="E9" sqref="E9"/>
      <pageMargins left="0.75" right="0.75" top="1" bottom="1" header="0.5" footer="0.5"/>
      <pageSetup paperSize="9" orientation="portrait" r:id="rId1"/>
      <headerFooter alignWithMargins="0"/>
    </customSheetView>
  </customSheetViews>
  <mergeCells count="29">
    <mergeCell ref="E2:F2"/>
    <mergeCell ref="A2:C2"/>
    <mergeCell ref="A6:D6"/>
    <mergeCell ref="C7:E7"/>
    <mergeCell ref="B4:D4"/>
    <mergeCell ref="E4:F4"/>
    <mergeCell ref="A9:B9"/>
    <mergeCell ref="A13:B13"/>
    <mergeCell ref="A8:F8"/>
    <mergeCell ref="A11:A12"/>
    <mergeCell ref="E16:F16"/>
    <mergeCell ref="E10:F10"/>
    <mergeCell ref="E9:F9"/>
    <mergeCell ref="C34:D34"/>
    <mergeCell ref="E33:F33"/>
    <mergeCell ref="E34:F34"/>
    <mergeCell ref="A34:B34"/>
    <mergeCell ref="A33:B33"/>
    <mergeCell ref="C33:D33"/>
    <mergeCell ref="H17:H18"/>
    <mergeCell ref="K17:K18"/>
    <mergeCell ref="G17:G18"/>
    <mergeCell ref="J17:J18"/>
    <mergeCell ref="A10:B10"/>
    <mergeCell ref="A16:B16"/>
    <mergeCell ref="A15:B15"/>
    <mergeCell ref="A14:B14"/>
    <mergeCell ref="A18:F18"/>
    <mergeCell ref="E15:F15"/>
  </mergeCells>
  <phoneticPr fontId="6" type="noConversion"/>
  <conditionalFormatting sqref="F23:F32 F20">
    <cfRule type="expression" dxfId="96" priority="38" stopIfTrue="1">
      <formula>$G$12&gt;0</formula>
    </cfRule>
  </conditionalFormatting>
  <conditionalFormatting sqref="C12">
    <cfRule type="cellIs" dxfId="95" priority="39" stopIfTrue="1" operator="lessThan">
      <formula>$B$12</formula>
    </cfRule>
    <cfRule type="cellIs" dxfId="94" priority="40" stopIfTrue="1" operator="lessThan">
      <formula>#REF!</formula>
    </cfRule>
    <cfRule type="cellIs" dxfId="93" priority="41" stopIfTrue="1" operator="lessThan">
      <formula>#REF!</formula>
    </cfRule>
  </conditionalFormatting>
  <conditionalFormatting sqref="B12">
    <cfRule type="cellIs" dxfId="92" priority="42" stopIfTrue="1" operator="greaterThan">
      <formula>$C$12</formula>
    </cfRule>
    <cfRule type="cellIs" dxfId="91" priority="43" stopIfTrue="1" operator="greaterThan">
      <formula>#REF!</formula>
    </cfRule>
    <cfRule type="expression" dxfId="90" priority="44" stopIfTrue="1">
      <formula>AND($B$12=0,#REF!&gt;0)</formula>
    </cfRule>
  </conditionalFormatting>
  <conditionalFormatting sqref="E4:F4">
    <cfRule type="expression" dxfId="89" priority="29" stopIfTrue="1">
      <formula>$C$117=1</formula>
    </cfRule>
  </conditionalFormatting>
  <conditionalFormatting sqref="E4:F4">
    <cfRule type="expression" dxfId="88" priority="26" stopIfTrue="1">
      <formula>$C$117=4</formula>
    </cfRule>
  </conditionalFormatting>
  <conditionalFormatting sqref="E4:F4">
    <cfRule type="expression" dxfId="87" priority="27" stopIfTrue="1">
      <formula>$C$117=3</formula>
    </cfRule>
  </conditionalFormatting>
  <conditionalFormatting sqref="E4:F4">
    <cfRule type="expression" dxfId="86" priority="28" stopIfTrue="1">
      <formula>$C$117=2</formula>
    </cfRule>
  </conditionalFormatting>
  <conditionalFormatting sqref="B4:D4 F1">
    <cfRule type="expression" dxfId="85" priority="14" stopIfTrue="1">
      <formula>SEARCH("סייבר",E1,1)&gt;0</formula>
    </cfRule>
    <cfRule type="expression" dxfId="84" priority="16" stopIfTrue="1">
      <formula>$E$4="טכנולוגית החלל"</formula>
    </cfRule>
    <cfRule type="expression" dxfId="83" priority="17" stopIfTrue="1">
      <formula>$E$4="חברות קטנות"</formula>
    </cfRule>
  </conditionalFormatting>
  <conditionalFormatting sqref="D10">
    <cfRule type="cellIs" dxfId="82" priority="8" stopIfTrue="1" operator="greaterThan">
      <formula>$C$12</formula>
    </cfRule>
    <cfRule type="cellIs" dxfId="81" priority="9" stopIfTrue="1" operator="greaterThan">
      <formula>#REF!</formula>
    </cfRule>
    <cfRule type="expression" dxfId="80" priority="10" stopIfTrue="1">
      <formula>AND($B$12=0,#REF!&gt;0)</formula>
    </cfRule>
  </conditionalFormatting>
  <conditionalFormatting sqref="E29:E30">
    <cfRule type="cellIs" dxfId="79" priority="5" stopIfTrue="1" operator="between">
      <formula>0.15</formula>
      <formula>1</formula>
    </cfRule>
  </conditionalFormatting>
  <conditionalFormatting sqref="H29:H30">
    <cfRule type="cellIs" dxfId="78" priority="4" stopIfTrue="1" operator="between">
      <formula>0.15</formula>
      <formula>1</formula>
    </cfRule>
  </conditionalFormatting>
  <conditionalFormatting sqref="K29:K30">
    <cfRule type="cellIs" dxfId="77" priority="3" stopIfTrue="1" operator="between">
      <formula>0.15</formula>
      <formula>1</formula>
    </cfRule>
  </conditionalFormatting>
  <conditionalFormatting sqref="F21:F22">
    <cfRule type="expression" dxfId="76" priority="2" stopIfTrue="1">
      <formula>$G$12&gt;0</formula>
    </cfRule>
  </conditionalFormatting>
  <dataValidations count="9">
    <dataValidation type="list" operator="greaterThan" allowBlank="1" showInputMessage="1" showErrorMessage="1" error="יש לבחור מרשימת הגלילה הנפתחת מצד שמאל לתא (ע&quot;י לחיצה על החץ מצד שמאל). _x000a_לחלופין,  נא וודאו זנה נכונה: DD/MM/YYYY (יש להזין את היום הראשון בחודש)" prompt="ניתן להקיש על החץ משמאל לבחירה מתוך רשימה" sqref="B12">
      <formula1>$A$64:$A$112</formula1>
    </dataValidation>
    <dataValidation type="list" operator="greaterThan" allowBlank="1" showInputMessage="1" showErrorMessage="1" error="יש לבחור מרשימת הגלילה הנפתחת מצד שמאל לתא (ע&quot;י לחיצה על החץ מצד שמאל). _x000a_לחלופין, נא וודאו הזנה נכונה: DD/MM/YYYY (יש להזין את היום האחרון בחודש)" prompt="ניתן להקיש על החץ משמאל לבחירה מתוך רשימה" sqref="C12">
      <formula1>$B$64:$B$112</formula1>
    </dataValidation>
    <dataValidation type="date" operator="greaterThan" allowBlank="1" showInputMessage="1" showErrorMessage="1" sqref="F6:F7">
      <formula1>1</formula1>
    </dataValidation>
    <dataValidation type="date" operator="greaterThan" allowBlank="1" showInputMessage="1" showErrorMessage="1" error="נא להזין תאריך חוקי: DD/MM/YYYY " sqref="F5">
      <formula1>38352</formula1>
    </dataValidation>
    <dataValidation type="whole" operator="greaterThan" allowBlank="1" showInputMessage="1" showErrorMessage="1" errorTitle="הזנה שגויה" error="נא להזין את מס' החברה באופן תקין._x000a_במידה ולחברה אין מס' בלשכת המדען הראשי, נא לפנות למח' קליטת הבקשות לביצוע רישום מסודר של החברה וקבלת מספר.  " sqref="C10">
      <formula1>0</formula1>
    </dataValidation>
    <dataValidation errorStyle="warning" operator="greaterThan" allowBlank="1" showInputMessage="1" showErrorMessage="1" sqref="E14"/>
    <dataValidation errorStyle="warning" operator="notEqual" allowBlank="1" showInputMessage="1" showErrorMessage="1" sqref="F14"/>
    <dataValidation type="date" allowBlank="1" showInputMessage="1" showErrorMessage="1" errorTitle="נא הקש תאריך בפורמט DD/MM/YYYY" error="נא הקש תאריך בפורמט DD/MM/YYYY" prompt="נא הקש תאריך בפורמט DD/MM/YYYY" sqref="D10">
      <formula1>1</formula1>
      <formula2>43831</formula2>
    </dataValidation>
    <dataValidation type="list" allowBlank="1" showInputMessage="1" showErrorMessage="1" sqref="E4:F4">
      <formula1>$E$117:$E$131</formula1>
    </dataValidation>
  </dataValidations>
  <hyperlinks>
    <hyperlink ref="A2" r:id="rId2" tooltip="דיווחים ותשלומים - טפסים אלקטרוניים" display="קישור לאתר המדען הראשי"/>
    <hyperlink ref="A2:C2" r:id="rId3" tooltip="דיווחים ותשלומים - טפסים אלקטרוניים" display="קישור לרשות החדשנות"/>
  </hyperlinks>
  <printOptions horizontalCentered="1" verticalCentered="1"/>
  <pageMargins left="0.27559055118110237" right="0.35433070866141736" top="0.19685039370078741" bottom="0.19685039370078741" header="0.39370078740157483" footer="0.19685039370078741"/>
  <pageSetup paperSize="9" scale="37" orientation="portrait" r:id="rId4"/>
  <headerFooter alignWithMargins="0">
    <oddFooter>עמוד &amp;P מתוך &amp;N</oddFooter>
  </headerFooter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2">
    <tabColor indexed="42"/>
    <pageSetUpPr fitToPage="1"/>
  </sheetPr>
  <dimension ref="A1:IE300"/>
  <sheetViews>
    <sheetView showGridLines="0" rightToLeft="1" tabSelected="1" zoomScale="90" zoomScaleNormal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I8" sqref="AI8"/>
    </sheetView>
  </sheetViews>
  <sheetFormatPr defaultColWidth="9.140625" defaultRowHeight="12.75" outlineLevelRow="1" outlineLevelCol="1" x14ac:dyDescent="0.2"/>
  <cols>
    <col min="1" max="1" width="4.28515625" style="37" bestFit="1" customWidth="1"/>
    <col min="2" max="2" width="20.42578125" style="15" customWidth="1"/>
    <col min="3" max="3" width="11" style="15" bestFit="1" customWidth="1"/>
    <col min="4" max="4" width="11" style="15" customWidth="1"/>
    <col min="5" max="5" width="5.28515625" style="15" bestFit="1" customWidth="1"/>
    <col min="6" max="7" width="9.5703125" style="15" customWidth="1"/>
    <col min="8" max="8" width="7.140625" style="15" customWidth="1"/>
    <col min="9" max="9" width="9.140625" style="15"/>
    <col min="10" max="10" width="7" style="15" customWidth="1"/>
    <col min="11" max="11" width="15.140625" style="15" customWidth="1"/>
    <col min="12" max="12" width="9.85546875" style="15" customWidth="1"/>
    <col min="13" max="13" width="16.42578125" style="15" customWidth="1"/>
    <col min="14" max="14" width="16.28515625" style="15" hidden="1" customWidth="1" outlineLevel="1"/>
    <col min="15" max="15" width="13.28515625" style="15" hidden="1" customWidth="1" outlineLevel="1"/>
    <col min="16" max="16" width="17.5703125" style="15" hidden="1" customWidth="1" outlineLevel="1"/>
    <col min="17" max="17" width="12.42578125" style="15" hidden="1" customWidth="1" outlineLevel="1"/>
    <col min="18" max="18" width="17.140625" style="15" hidden="1" customWidth="1" outlineLevel="1"/>
    <col min="19" max="19" width="13.5703125" style="15" hidden="1" customWidth="1" outlineLevel="1"/>
    <col min="20" max="20" width="8.7109375" style="15" hidden="1" customWidth="1" outlineLevel="1"/>
    <col min="21" max="21" width="8.140625" style="15" customWidth="1" collapsed="1"/>
    <col min="22" max="22" width="8.140625" style="15" customWidth="1"/>
    <col min="23" max="23" width="16" style="15" hidden="1" customWidth="1" outlineLevel="1"/>
    <col min="24" max="24" width="13.85546875" style="15" hidden="1" customWidth="1" outlineLevel="1"/>
    <col min="25" max="25" width="16.7109375" style="15" hidden="1" customWidth="1" outlineLevel="1"/>
    <col min="26" max="26" width="14.7109375" style="15" hidden="1" customWidth="1" outlineLevel="1"/>
    <col min="27" max="27" width="11.85546875" style="15" hidden="1" customWidth="1" outlineLevel="1"/>
    <col min="28" max="28" width="8.28515625" style="15" customWidth="1" collapsed="1"/>
    <col min="29" max="30" width="9.140625" style="293"/>
    <col min="31" max="31" width="9.140625" style="15"/>
    <col min="32" max="32" width="9.140625" style="356"/>
    <col min="33" max="16384" width="9.140625" style="15"/>
  </cols>
  <sheetData>
    <row r="1" spans="1:239" s="42" customFormat="1" ht="21.75" customHeight="1" thickBot="1" x14ac:dyDescent="0.35">
      <c r="A1" s="568" t="s">
        <v>30</v>
      </c>
      <c r="B1" s="569"/>
      <c r="C1" s="569"/>
      <c r="D1" s="103"/>
      <c r="E1" s="41"/>
      <c r="F1" s="593"/>
      <c r="G1" s="594"/>
      <c r="H1" s="591"/>
      <c r="I1" s="592"/>
      <c r="J1" s="70"/>
      <c r="K1" s="572">
        <f>'ראשי-פרטים כלליים וריכוז הוצאות'!F5</f>
        <v>0</v>
      </c>
      <c r="L1" s="572"/>
      <c r="M1" s="160"/>
      <c r="N1" s="585" t="s">
        <v>139</v>
      </c>
      <c r="O1" s="586"/>
      <c r="P1" s="586"/>
      <c r="Q1" s="586"/>
      <c r="R1" s="586"/>
      <c r="S1" s="586"/>
      <c r="T1" s="587"/>
      <c r="U1" s="580" t="s">
        <v>72</v>
      </c>
      <c r="V1" s="298"/>
      <c r="W1" s="576" t="s">
        <v>221</v>
      </c>
      <c r="X1" s="577"/>
      <c r="Y1" s="577"/>
      <c r="Z1" s="577"/>
      <c r="AA1" s="577"/>
      <c r="AB1" s="570" t="s">
        <v>221</v>
      </c>
      <c r="AC1" s="292"/>
      <c r="AD1" s="292"/>
      <c r="AF1" s="355"/>
    </row>
    <row r="2" spans="1:239" s="44" customFormat="1" ht="29.25" customHeight="1" thickBot="1" x14ac:dyDescent="0.3">
      <c r="A2" s="43"/>
      <c r="B2" s="589" t="s">
        <v>107</v>
      </c>
      <c r="C2" s="590"/>
      <c r="D2" s="590"/>
      <c r="E2" s="590"/>
      <c r="F2" s="588" t="s">
        <v>108</v>
      </c>
      <c r="G2" s="574"/>
      <c r="H2" s="574"/>
      <c r="I2" s="574"/>
      <c r="J2" s="575"/>
      <c r="K2" s="573" t="s">
        <v>52</v>
      </c>
      <c r="L2" s="574"/>
      <c r="M2" s="575"/>
      <c r="N2" s="582" t="s">
        <v>169</v>
      </c>
      <c r="O2" s="583"/>
      <c r="P2" s="583"/>
      <c r="Q2" s="583"/>
      <c r="R2" s="583"/>
      <c r="S2" s="584"/>
      <c r="T2" s="132"/>
      <c r="U2" s="581"/>
      <c r="V2" s="299"/>
      <c r="W2" s="578" t="s">
        <v>109</v>
      </c>
      <c r="X2" s="579"/>
      <c r="Y2" s="579"/>
      <c r="Z2" s="579"/>
      <c r="AA2" s="137"/>
      <c r="AB2" s="571"/>
      <c r="AC2" s="293"/>
      <c r="AD2" s="293"/>
      <c r="AE2" s="15"/>
      <c r="AF2" s="356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</row>
    <row r="3" spans="1:239" s="49" customFormat="1" ht="54" customHeight="1" x14ac:dyDescent="0.25">
      <c r="A3" s="45" t="s">
        <v>15</v>
      </c>
      <c r="B3" s="46" t="s">
        <v>161</v>
      </c>
      <c r="C3" s="47" t="s">
        <v>105</v>
      </c>
      <c r="D3" s="100" t="s">
        <v>106</v>
      </c>
      <c r="E3" s="303" t="s">
        <v>12</v>
      </c>
      <c r="F3" s="71" t="s">
        <v>162</v>
      </c>
      <c r="G3" s="47" t="s">
        <v>163</v>
      </c>
      <c r="H3" s="47" t="s">
        <v>164</v>
      </c>
      <c r="I3" s="47" t="s">
        <v>165</v>
      </c>
      <c r="J3" s="48" t="s">
        <v>49</v>
      </c>
      <c r="K3" s="145" t="s">
        <v>160</v>
      </c>
      <c r="L3" s="47" t="s">
        <v>50</v>
      </c>
      <c r="M3" s="48" t="s">
        <v>51</v>
      </c>
      <c r="N3" s="270" t="s">
        <v>159</v>
      </c>
      <c r="O3" s="271" t="s">
        <v>153</v>
      </c>
      <c r="P3" s="271" t="s">
        <v>89</v>
      </c>
      <c r="Q3" s="68" t="s">
        <v>53</v>
      </c>
      <c r="R3" s="68" t="s">
        <v>131</v>
      </c>
      <c r="S3" s="278" t="s">
        <v>170</v>
      </c>
      <c r="T3" s="136" t="s">
        <v>171</v>
      </c>
      <c r="U3" s="581"/>
      <c r="V3" s="299"/>
      <c r="W3" s="146" t="s">
        <v>135</v>
      </c>
      <c r="X3" s="110" t="s">
        <v>134</v>
      </c>
      <c r="Y3" s="110" t="s">
        <v>39</v>
      </c>
      <c r="Z3" s="110" t="s">
        <v>132</v>
      </c>
      <c r="AA3" s="138" t="s">
        <v>133</v>
      </c>
      <c r="AB3" s="571"/>
      <c r="AC3" s="294"/>
      <c r="AD3" s="294"/>
      <c r="AE3" s="36"/>
      <c r="AF3" s="357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</row>
    <row r="4" spans="1:239" s="22" customFormat="1" ht="24.75" customHeight="1" x14ac:dyDescent="0.2">
      <c r="A4" s="177">
        <v>1</v>
      </c>
      <c r="B4" s="325"/>
      <c r="C4" s="325"/>
      <c r="D4" s="325"/>
      <c r="E4" s="326"/>
      <c r="F4" s="327"/>
      <c r="G4" s="328"/>
      <c r="H4" s="329"/>
      <c r="I4" s="329"/>
      <c r="J4" s="330"/>
      <c r="K4" s="331">
        <f>(IF(OR($B4=0,$C4=0,$D4=0),0,IF(OR($E4=0,($G4+$F4=0),$H4=0),0,MIN((VLOOKUP($E4,$A$232:$C$241,3,0))*(IF($E4=6,$I4,$H4))*((MIN((VLOOKUP($E4,$A$232:$E$241,5,0)),(IF($E4=6,$H4,$I4))))),MIN((VLOOKUP($E4,$A$232:$C$241,3,0)),($F4+$G4))*(IF($E4=6,$I4,((MIN((VLOOKUP($E4,$A$232:$E$241,5,0)),$I4)))))))))*$J4</f>
        <v>0</v>
      </c>
      <c r="L4" s="332">
        <f>J4*I4*H4/12</f>
        <v>0</v>
      </c>
      <c r="M4" s="333">
        <f>(F4+G4)*J4</f>
        <v>0</v>
      </c>
      <c r="N4" s="277" t="str">
        <f>IF(E4&gt;0,MIN((VLOOKUP($E4,$A$232:$C$241,3,0)),($F4+$G4)),"")</f>
        <v/>
      </c>
      <c r="O4" s="273">
        <f>IF(E4=6,(MIN(VLOOKUP($E4,$A$232:$E$241,5,0),H4)),H4)</f>
        <v>0</v>
      </c>
      <c r="P4" s="272">
        <f>IF(E4=6,I4,IF(E4&gt;0,MIN((VLOOKUP($E4,$A$232:$E$241,5,0)),(I4)),0))*(1-$T$2)</f>
        <v>0</v>
      </c>
      <c r="Q4" s="62">
        <f>J4</f>
        <v>0</v>
      </c>
      <c r="R4" s="274" t="str">
        <f>IF(AND(E4=6,O4&lt;H4,H4&gt;0.333333),"סגל אקדמי: משרה עד-33%",IF( 0.1&gt;P4,(IF(P4&gt;0.00001,"עצור: אחוז תעסוקה נמוך מ-10%","")),(IF(AND($T$2&gt;0,$T$2&lt;1,P4&gt;0),(IF(($T$2*I4=P4),"קיצוץ אחיד","נא להזין נימוק")),(IF((P4-I4=0),(IF((Q4-J4=0),"","נא להזין נימוק")),"נא להזין נימוק"))))))</f>
        <v/>
      </c>
      <c r="S4" s="269">
        <f>(IF(OR($B4=0,$C4=0,$D4=0),0,IF(OR($E4=0,($G4+$F4=0),$H4=0),0,MIN((VLOOKUP($E4,$A$232:$C$241,3,0))*(IF($E4=6,$P4,$O4))*((MIN((VLOOKUP($E4,$A$232:$E$241,5,0)),(IF($E4=6,$O4,$P4))))),MIN((VLOOKUP($E4,$A$232:$C$241,3,0)),($F4+$G4))*(IF($E4=6,$P4,((MIN((VLOOKUP($E4,$A$232:$E$241,5,0)),$P4)))))))))*$Q4</f>
        <v>0</v>
      </c>
      <c r="T4" s="101">
        <f>O4*P4*Q4/12</f>
        <v>0</v>
      </c>
      <c r="U4" s="122"/>
      <c r="V4" s="300"/>
      <c r="W4" s="131">
        <f t="shared" ref="W4:W18" si="0">IF($AA$2&gt;0,(1-$AA$2)*P4,P4)</f>
        <v>0</v>
      </c>
      <c r="X4" s="62">
        <f t="shared" ref="X4:X68" si="1">Q4</f>
        <v>0</v>
      </c>
      <c r="Y4" s="63" t="str">
        <f t="shared" ref="Y4:Y67" si="2">IF(0.1&gt;W4,(IF(W4&gt;0.00001,"עצור: אחוז תעסוקה נמוך מ-10%","")),(IF(AND($AA$2&gt;0,W4&gt;0),(IF(($AA$2*P4=W4),"קיצוץ אחיד","נא להזין נימוק")),(IF((W4-P4=0),(IF((X4-Q4=0),"","נא להזין נימוק")),"נא להזין נימוק")))))</f>
        <v/>
      </c>
      <c r="Z4" s="133">
        <f>(IF(OR($B4=0,$C4=0,$D4=0),0,IF(OR($E4=0,($G4+$F4=0),$H4=0),0,MIN((VLOOKUP($E4,$A$232:$C$241,3,0))*(IF($E4=6,$W4,$O4))*((MIN((VLOOKUP($E4,$A$232:$E$241,5,0)),(IF($E4=6,$O4,$W4))))),MIN((VLOOKUP($E4,$A$232:$C$241,3,0)),($F4+$G4))*(IF($E4=6,$W4,((MIN((VLOOKUP($E4,$A$232:$E$241,5,0)),$W4)))))))))*$X4</f>
        <v>0</v>
      </c>
      <c r="AA4" s="139">
        <f t="shared" ref="AA4:AA67" si="3">O4*W4*X4/12</f>
        <v>0</v>
      </c>
      <c r="AB4" s="126"/>
      <c r="AC4" s="295"/>
      <c r="AD4" s="295"/>
      <c r="AF4" s="358">
        <f>+F4+G4</f>
        <v>0</v>
      </c>
    </row>
    <row r="5" spans="1:239" s="22" customFormat="1" ht="24.75" customHeight="1" x14ac:dyDescent="0.2">
      <c r="A5" s="177">
        <v>2</v>
      </c>
      <c r="B5" s="325"/>
      <c r="C5" s="325"/>
      <c r="D5" s="325"/>
      <c r="E5" s="326"/>
      <c r="F5" s="327"/>
      <c r="G5" s="328"/>
      <c r="H5" s="329"/>
      <c r="I5" s="329"/>
      <c r="J5" s="330"/>
      <c r="K5" s="331">
        <f>(IF(OR($B5=0,$C5=0,$D5=0),0,IF(OR($E5=0,($G5+$F5=0),$H5=0),0,MIN((VLOOKUP($E5,$A$232:$C$241,3,0))*(IF($E5=6,$I5,$H5))*((MIN((VLOOKUP($E5,$A$232:$E$241,5,0)),(IF($E5=6,$H5,$I5))))),MIN((VLOOKUP($E5,$A$232:$C$241,3,0)),($F5+$G5))*(IF($E5=6,$I5,((MIN((VLOOKUP($E5,$A$232:$E$241,5,0)),$I5)))))))))*$J5</f>
        <v>0</v>
      </c>
      <c r="L5" s="332">
        <f t="shared" ref="L5:L68" si="4">J5*I5*H5/12</f>
        <v>0</v>
      </c>
      <c r="M5" s="333">
        <f t="shared" ref="M5:M68" si="5">(F5+G5)*J5</f>
        <v>0</v>
      </c>
      <c r="N5" s="277" t="str">
        <f>IF(E5&gt;0,MIN((VLOOKUP($E5,$A$232:$C$241,3,0)),($F5+$G5)),"")</f>
        <v/>
      </c>
      <c r="O5" s="273">
        <f>IF(E5=6,(MIN(VLOOKUP($E5,$A$232:$E$241,5,0),H5)),H5)</f>
        <v>0</v>
      </c>
      <c r="P5" s="272">
        <f>IF(E5=6,I5,IF(E5&gt;0,MIN((VLOOKUP($E5,$A$232:$E$241,5,0)),(I5)),0))*(1-$T$2)</f>
        <v>0</v>
      </c>
      <c r="Q5" s="62">
        <f t="shared" ref="Q5:Q68" si="6">J5</f>
        <v>0</v>
      </c>
      <c r="R5" s="274" t="str">
        <f t="shared" ref="R5:R68" si="7">IF(AND(E5=6,O5&lt;H5,H5&gt;0.333333),"סגל אקדמי: משרה עד-33%",IF( 0.1&gt;P5,(IF(P5&gt;0.00001,"עצור: אחוז תעסוקה נמוך מ-10%","")),(IF(AND($T$2&gt;0,$T$2&lt;1,P5&gt;0),(IF(($T$2*I5=P5),"קיצוץ אחיד","נא להזין נימוק")),(IF((P5-I5=0),(IF((Q5-J5=0),"","נא להזין נימוק")),"נא להזין נימוק"))))))</f>
        <v/>
      </c>
      <c r="S5" s="269">
        <f>(IF(OR($B5=0,$C5=0,$D5=0),0,IF(OR($E5=0,($G5+$F5=0),$H5=0),0,MIN((VLOOKUP($E5,$A$232:$C$241,3,0))*(IF($E5=6,$P5,$O5))*((MIN((VLOOKUP($E5,$A$232:$E$241,5,0)),(IF($E5=6,$O5,$P5))))),MIN((VLOOKUP($E5,$A$232:$C$241,3,0)),($F5+$G5))*(IF($E5=6,$P5,((MIN((VLOOKUP($E5,$A$232:$E$241,5,0)),$P5)))))))))*$Q5</f>
        <v>0</v>
      </c>
      <c r="T5" s="101">
        <f t="shared" ref="T5:T68" si="8">O5*P5*Q5/12</f>
        <v>0</v>
      </c>
      <c r="U5" s="122"/>
      <c r="V5" s="300"/>
      <c r="W5" s="131">
        <f t="shared" si="0"/>
        <v>0</v>
      </c>
      <c r="X5" s="62">
        <f t="shared" si="1"/>
        <v>0</v>
      </c>
      <c r="Y5" s="63" t="str">
        <f t="shared" si="2"/>
        <v/>
      </c>
      <c r="Z5" s="133">
        <f>(IF(OR($B5=0,$C5=0,$D5=0),0,IF(OR($E5=0,($G5+$F5=0),$H5=0),0,MIN((VLOOKUP($E5,$A$232:$C$241,3,0))*(IF($E5=6,$W5,$O5))*((MIN((VLOOKUP($E5,$A$232:$E$241,5,0)),(IF($E5=6,$O5,$W5))))),MIN((VLOOKUP($E5,$A$232:$C$241,3,0)),($F5+$G5))*(IF($E5=6,$W5,((MIN((VLOOKUP($E5,$A$232:$E$241,5,0)),$W5)))))))))*$X5</f>
        <v>0</v>
      </c>
      <c r="AA5" s="139">
        <f t="shared" si="3"/>
        <v>0</v>
      </c>
      <c r="AB5" s="126"/>
      <c r="AC5" s="295"/>
      <c r="AD5" s="295"/>
      <c r="AF5" s="359">
        <f t="shared" ref="AF5:AF68" si="9">+F5+G5</f>
        <v>0</v>
      </c>
    </row>
    <row r="6" spans="1:239" s="22" customFormat="1" ht="24.75" customHeight="1" x14ac:dyDescent="0.2">
      <c r="A6" s="177">
        <v>3</v>
      </c>
      <c r="B6" s="325"/>
      <c r="C6" s="325"/>
      <c r="D6" s="325"/>
      <c r="E6" s="326"/>
      <c r="F6" s="327"/>
      <c r="G6" s="328"/>
      <c r="H6" s="329"/>
      <c r="I6" s="329"/>
      <c r="J6" s="330"/>
      <c r="K6" s="331">
        <f>(IF(OR($B6=0,$C6=0,$D6=0),0,IF(OR($E6=0,($G6+$F6=0),$H6=0),0,MIN((VLOOKUP($E6,$A$232:$C$241,3,0))*(IF($E6=6,$I6,$H6))*((MIN((VLOOKUP($E6,$A$232:$E$241,5,0)),(IF($E6=6,$H6,$I6))))),MIN((VLOOKUP($E6,$A$232:$C$241,3,0)),($F6+$G6))*(IF($E6=6,$I6,((MIN((VLOOKUP($E6,$A$232:$E$241,5,0)),$I6)))))))))*$J6</f>
        <v>0</v>
      </c>
      <c r="L6" s="332">
        <f t="shared" si="4"/>
        <v>0</v>
      </c>
      <c r="M6" s="333">
        <f t="shared" si="5"/>
        <v>0</v>
      </c>
      <c r="N6" s="277" t="str">
        <f>IF(E6&gt;0,MIN((VLOOKUP($E6,$A$232:$C$241,3,0)),($F6+$G6)),"")</f>
        <v/>
      </c>
      <c r="O6" s="273">
        <f>IF(E6=6,(MIN(VLOOKUP($E6,$A$232:$E$241,5,0),H6)),H6)</f>
        <v>0</v>
      </c>
      <c r="P6" s="272">
        <f>IF(E6=6,I6,IF(E6&gt;0,MIN((VLOOKUP($E6,$A$232:$E$241,5,0)),(I6)),0))*(1-$T$2)</f>
        <v>0</v>
      </c>
      <c r="Q6" s="62">
        <f t="shared" si="6"/>
        <v>0</v>
      </c>
      <c r="R6" s="274" t="str">
        <f t="shared" si="7"/>
        <v/>
      </c>
      <c r="S6" s="269">
        <f>(IF(OR($B6=0,$C6=0,$D6=0),0,IF(OR($E6=0,($G6+$F6=0),$H6=0),0,MIN((VLOOKUP($E6,$A$232:$C$241,3,0))*(IF($E6=6,$P6,$O6))*((MIN((VLOOKUP($E6,$A$232:$E$241,5,0)),(IF($E6=6,$O6,$P6))))),MIN((VLOOKUP($E6,$A$232:$C$241,3,0)),($F6+$G6))*(IF($E6=6,$P6,((MIN((VLOOKUP($E6,$A$232:$E$241,5,0)),$P6)))))))))*$Q6</f>
        <v>0</v>
      </c>
      <c r="T6" s="101">
        <f t="shared" si="8"/>
        <v>0</v>
      </c>
      <c r="U6" s="122"/>
      <c r="V6" s="300"/>
      <c r="W6" s="131">
        <f t="shared" si="0"/>
        <v>0</v>
      </c>
      <c r="X6" s="62">
        <f t="shared" si="1"/>
        <v>0</v>
      </c>
      <c r="Y6" s="63" t="str">
        <f t="shared" si="2"/>
        <v/>
      </c>
      <c r="Z6" s="133">
        <f>(IF(OR($B6=0,$C6=0,$D6=0),0,IF(OR($E6=0,($G6+$F6=0),$H6=0),0,MIN((VLOOKUP($E6,$A$232:$C$241,3,0))*(IF($E6=6,$W6,$O6))*((MIN((VLOOKUP($E6,$A$232:$E$241,5,0)),(IF($E6=6,$O6,$W6))))),MIN((VLOOKUP($E6,$A$232:$C$241,3,0)),($F6+$G6))*(IF($E6=6,$W6,((MIN((VLOOKUP($E6,$A$232:$E$241,5,0)),$W6)))))))))*$X6</f>
        <v>0</v>
      </c>
      <c r="AA6" s="139">
        <f t="shared" si="3"/>
        <v>0</v>
      </c>
      <c r="AB6" s="126"/>
      <c r="AC6" s="295"/>
      <c r="AD6" s="295"/>
      <c r="AF6" s="359">
        <f t="shared" si="9"/>
        <v>0</v>
      </c>
    </row>
    <row r="7" spans="1:239" s="22" customFormat="1" ht="24.75" customHeight="1" x14ac:dyDescent="0.2">
      <c r="A7" s="177">
        <v>4</v>
      </c>
      <c r="B7" s="325"/>
      <c r="C7" s="325"/>
      <c r="D7" s="325"/>
      <c r="E7" s="326"/>
      <c r="F7" s="327"/>
      <c r="G7" s="328"/>
      <c r="H7" s="329"/>
      <c r="I7" s="329"/>
      <c r="J7" s="330"/>
      <c r="K7" s="331">
        <f>(IF(OR($B7=0,$C7=0,$D7=0),0,IF(OR($E7=0,($G7+$F7=0),$H7=0),0,MIN((VLOOKUP($E7,$A$232:$C$241,3,0))*(IF($E7=6,$I7,$H7))*((MIN((VLOOKUP($E7,$A$232:$E$241,5,0)),(IF($E7=6,$H7,$I7))))),MIN((VLOOKUP($E7,$A$232:$C$241,3,0)),($F7+$G7))*(IF($E7=6,$I7,((MIN((VLOOKUP($E7,$A$232:$E$241,5,0)),$I7)))))))))*$J7</f>
        <v>0</v>
      </c>
      <c r="L7" s="332">
        <f t="shared" si="4"/>
        <v>0</v>
      </c>
      <c r="M7" s="333">
        <f t="shared" si="5"/>
        <v>0</v>
      </c>
      <c r="N7" s="277" t="str">
        <f>IF(E7&gt;0,MIN((VLOOKUP($E7,$A$232:$C$241,3,0)),($F7+$G7)),"")</f>
        <v/>
      </c>
      <c r="O7" s="273">
        <f>IF(E7=6,(MIN(VLOOKUP($E7,$A$232:$E$241,5,0),H7)),H7)</f>
        <v>0</v>
      </c>
      <c r="P7" s="272">
        <f>IF(E7=6,I7,IF(E7&gt;0,MIN((VLOOKUP($E7,$A$232:$E$241,5,0)),(I7)),0))*(1-$T$2)</f>
        <v>0</v>
      </c>
      <c r="Q7" s="62">
        <f t="shared" si="6"/>
        <v>0</v>
      </c>
      <c r="R7" s="274" t="str">
        <f t="shared" si="7"/>
        <v/>
      </c>
      <c r="S7" s="269">
        <f>(IF(OR($B7=0,$C7=0,$D7=0),0,IF(OR($E7=0,($G7+$F7=0),$H7=0),0,MIN((VLOOKUP($E7,$A$232:$C$241,3,0))*(IF($E7=6,$P7,$O7))*((MIN((VLOOKUP($E7,$A$232:$E$241,5,0)),(IF($E7=6,$O7,$P7))))),MIN((VLOOKUP($E7,$A$232:$C$241,3,0)),($F7+$G7))*(IF($E7=6,$P7,((MIN((VLOOKUP($E7,$A$232:$E$241,5,0)),$P7)))))))))*$Q7</f>
        <v>0</v>
      </c>
      <c r="T7" s="101">
        <f t="shared" si="8"/>
        <v>0</v>
      </c>
      <c r="U7" s="122"/>
      <c r="V7" s="300"/>
      <c r="W7" s="131">
        <f t="shared" si="0"/>
        <v>0</v>
      </c>
      <c r="X7" s="62">
        <f t="shared" si="1"/>
        <v>0</v>
      </c>
      <c r="Y7" s="63" t="str">
        <f t="shared" si="2"/>
        <v/>
      </c>
      <c r="Z7" s="133">
        <f>(IF(OR($B7=0,$C7=0,$D7=0),0,IF(OR($E7=0,($G7+$F7=0),$H7=0),0,MIN((VLOOKUP($E7,$A$232:$C$241,3,0))*(IF($E7=6,$W7,$O7))*((MIN((VLOOKUP($E7,$A$232:$E$241,5,0)),(IF($E7=6,$O7,$W7))))),MIN((VLOOKUP($E7,$A$232:$C$241,3,0)),($F7+$G7))*(IF($E7=6,$W7,((MIN((VLOOKUP($E7,$A$232:$E$241,5,0)),$W7)))))))))*$X7</f>
        <v>0</v>
      </c>
      <c r="AA7" s="139">
        <f t="shared" si="3"/>
        <v>0</v>
      </c>
      <c r="AB7" s="126"/>
      <c r="AC7" s="295"/>
      <c r="AD7" s="295"/>
      <c r="AF7" s="359">
        <f t="shared" si="9"/>
        <v>0</v>
      </c>
    </row>
    <row r="8" spans="1:239" s="22" customFormat="1" ht="24.75" customHeight="1" x14ac:dyDescent="0.2">
      <c r="A8" s="177">
        <v>5</v>
      </c>
      <c r="B8" s="325"/>
      <c r="C8" s="325"/>
      <c r="D8" s="325"/>
      <c r="E8" s="326"/>
      <c r="F8" s="327"/>
      <c r="G8" s="328"/>
      <c r="H8" s="329"/>
      <c r="I8" s="329"/>
      <c r="J8" s="330"/>
      <c r="K8" s="331">
        <f>(IF(OR($B8=0,$C8=0,$D8=0),0,IF(OR($E8=0,($G8+$F8=0),$H8=0),0,MIN((VLOOKUP($E8,$A$232:$C$241,3,0))*(IF($E8=6,$I8,$H8))*((MIN((VLOOKUP($E8,$A$232:$E$241,5,0)),(IF($E8=6,$H8,$I8))))),MIN((VLOOKUP($E8,$A$232:$C$241,3,0)),($F8+$G8))*(IF($E8=6,$I8,((MIN((VLOOKUP($E8,$A$232:$E$241,5,0)),$I8)))))))))*$J8</f>
        <v>0</v>
      </c>
      <c r="L8" s="332">
        <f t="shared" si="4"/>
        <v>0</v>
      </c>
      <c r="M8" s="333">
        <f t="shared" si="5"/>
        <v>0</v>
      </c>
      <c r="N8" s="277" t="str">
        <f>IF(E8&gt;0,MIN((VLOOKUP($E8,$A$232:$C$241,3,0)),($F8+$G8)),"")</f>
        <v/>
      </c>
      <c r="O8" s="273">
        <f>IF(E8=6,(MIN(VLOOKUP($E8,$A$232:$E$241,5,0),H8)),H8)</f>
        <v>0</v>
      </c>
      <c r="P8" s="272">
        <f>IF(E8=6,I8,IF(E8&gt;0,MIN((VLOOKUP($E8,$A$232:$E$241,5,0)),(I8)),0))*(1-$T$2)</f>
        <v>0</v>
      </c>
      <c r="Q8" s="62">
        <f t="shared" si="6"/>
        <v>0</v>
      </c>
      <c r="R8" s="274" t="str">
        <f t="shared" si="7"/>
        <v/>
      </c>
      <c r="S8" s="269">
        <f>(IF(OR($B8=0,$C8=0,$D8=0),0,IF(OR($E8=0,($G8+$F8=0),$H8=0),0,MIN((VLOOKUP($E8,$A$232:$C$241,3,0))*(IF($E8=6,$P8,$O8))*((MIN((VLOOKUP($E8,$A$232:$E$241,5,0)),(IF($E8=6,$O8,$P8))))),MIN((VLOOKUP($E8,$A$232:$C$241,3,0)),($F8+$G8))*(IF($E8=6,$P8,((MIN((VLOOKUP($E8,$A$232:$E$241,5,0)),$P8)))))))))*$Q8</f>
        <v>0</v>
      </c>
      <c r="T8" s="101">
        <f t="shared" si="8"/>
        <v>0</v>
      </c>
      <c r="U8" s="122"/>
      <c r="V8" s="300"/>
      <c r="W8" s="131">
        <f t="shared" si="0"/>
        <v>0</v>
      </c>
      <c r="X8" s="62">
        <f t="shared" si="1"/>
        <v>0</v>
      </c>
      <c r="Y8" s="63" t="str">
        <f t="shared" si="2"/>
        <v/>
      </c>
      <c r="Z8" s="133">
        <f>(IF(OR($B8=0,$C8=0,$D8=0),0,IF(OR($E8=0,($G8+$F8=0),$H8=0),0,MIN((VLOOKUP($E8,$A$232:$C$241,3,0))*(IF($E8=6,$W8,$O8))*((MIN((VLOOKUP($E8,$A$232:$E$241,5,0)),(IF($E8=6,$O8,$W8))))),MIN((VLOOKUP($E8,$A$232:$C$241,3,0)),($F8+$G8))*(IF($E8=6,$W8,((MIN((VLOOKUP($E8,$A$232:$E$241,5,0)),$W8)))))))))*$X8</f>
        <v>0</v>
      </c>
      <c r="AA8" s="139">
        <f t="shared" si="3"/>
        <v>0</v>
      </c>
      <c r="AB8" s="126"/>
      <c r="AC8" s="295"/>
      <c r="AD8" s="295"/>
      <c r="AF8" s="359">
        <f t="shared" si="9"/>
        <v>0</v>
      </c>
    </row>
    <row r="9" spans="1:239" s="22" customFormat="1" ht="24.75" customHeight="1" x14ac:dyDescent="0.2">
      <c r="A9" s="177">
        <v>6</v>
      </c>
      <c r="B9" s="325"/>
      <c r="C9" s="325"/>
      <c r="D9" s="325"/>
      <c r="E9" s="326"/>
      <c r="F9" s="327"/>
      <c r="G9" s="328"/>
      <c r="H9" s="329"/>
      <c r="I9" s="329"/>
      <c r="J9" s="330"/>
      <c r="K9" s="331">
        <f>(IF(OR($B9=0,$C9=0,$D9=0),0,IF(OR($E9=0,($G9+$F9=0),$H9=0),0,MIN((VLOOKUP($E9,$A$232:$C$241,3,0))*(IF($E9=6,$I9,$H9))*((MIN((VLOOKUP($E9,$A$232:$E$241,5,0)),(IF($E9=6,$H9,$I9))))),MIN((VLOOKUP($E9,$A$232:$C$241,3,0)),($F9+$G9))*(IF($E9=6,$I9,((MIN((VLOOKUP($E9,$A$232:$E$241,5,0)),$I9)))))))))*$J9</f>
        <v>0</v>
      </c>
      <c r="L9" s="332">
        <f t="shared" si="4"/>
        <v>0</v>
      </c>
      <c r="M9" s="333">
        <f t="shared" si="5"/>
        <v>0</v>
      </c>
      <c r="N9" s="277" t="str">
        <f>IF(E9&gt;0,MIN((VLOOKUP($E9,$A$232:$C$241,3,0)),($F9+$G9)),"")</f>
        <v/>
      </c>
      <c r="O9" s="273">
        <f>IF(E9=6,(MIN(VLOOKUP($E9,$A$232:$E$241,5,0),H9)),H9)</f>
        <v>0</v>
      </c>
      <c r="P9" s="272">
        <f>IF(E9=6,I9,IF(E9&gt;0,MIN((VLOOKUP($E9,$A$232:$E$241,5,0)),(I9)),0))*(1-$T$2)</f>
        <v>0</v>
      </c>
      <c r="Q9" s="62">
        <f t="shared" si="6"/>
        <v>0</v>
      </c>
      <c r="R9" s="274" t="str">
        <f t="shared" si="7"/>
        <v/>
      </c>
      <c r="S9" s="269">
        <f>(IF(OR($B9=0,$C9=0,$D9=0),0,IF(OR($E9=0,($G9+$F9=0),$H9=0),0,MIN((VLOOKUP($E9,$A$232:$C$241,3,0))*(IF($E9=6,$P9,$O9))*((MIN((VLOOKUP($E9,$A$232:$E$241,5,0)),(IF($E9=6,$O9,$P9))))),MIN((VLOOKUP($E9,$A$232:$C$241,3,0)),($F9+$G9))*(IF($E9=6,$P9,((MIN((VLOOKUP($E9,$A$232:$E$241,5,0)),$P9)))))))))*$Q9</f>
        <v>0</v>
      </c>
      <c r="T9" s="101">
        <f t="shared" si="8"/>
        <v>0</v>
      </c>
      <c r="U9" s="122"/>
      <c r="V9" s="300"/>
      <c r="W9" s="131">
        <f t="shared" si="0"/>
        <v>0</v>
      </c>
      <c r="X9" s="62">
        <f t="shared" si="1"/>
        <v>0</v>
      </c>
      <c r="Y9" s="63" t="str">
        <f t="shared" si="2"/>
        <v/>
      </c>
      <c r="Z9" s="133">
        <f>(IF(OR($B9=0,$C9=0,$D9=0),0,IF(OR($E9=0,($G9+$F9=0),$H9=0),0,MIN((VLOOKUP($E9,$A$232:$C$241,3,0))*(IF($E9=6,$W9,$O9))*((MIN((VLOOKUP($E9,$A$232:$E$241,5,0)),(IF($E9=6,$O9,$W9))))),MIN((VLOOKUP($E9,$A$232:$C$241,3,0)),($F9+$G9))*(IF($E9=6,$W9,((MIN((VLOOKUP($E9,$A$232:$E$241,5,0)),$W9)))))))))*$X9</f>
        <v>0</v>
      </c>
      <c r="AA9" s="139">
        <f t="shared" si="3"/>
        <v>0</v>
      </c>
      <c r="AB9" s="126"/>
      <c r="AC9" s="295"/>
      <c r="AD9" s="295"/>
      <c r="AF9" s="359">
        <f t="shared" si="9"/>
        <v>0</v>
      </c>
    </row>
    <row r="10" spans="1:239" s="22" customFormat="1" ht="24.75" customHeight="1" x14ac:dyDescent="0.2">
      <c r="A10" s="177">
        <v>7</v>
      </c>
      <c r="B10" s="325"/>
      <c r="C10" s="325"/>
      <c r="D10" s="325"/>
      <c r="E10" s="326"/>
      <c r="F10" s="327"/>
      <c r="G10" s="328"/>
      <c r="H10" s="329"/>
      <c r="I10" s="329"/>
      <c r="J10" s="330"/>
      <c r="K10" s="331">
        <f>(IF(OR($B10=0,$C10=0,$D10=0),0,IF(OR($E10=0,($G10+$F10=0),$H10=0),0,MIN((VLOOKUP($E10,$A$232:$C$241,3,0))*(IF($E10=6,$I10,$H10))*((MIN((VLOOKUP($E10,$A$232:$E$241,5,0)),(IF($E10=6,$H10,$I10))))),MIN((VLOOKUP($E10,$A$232:$C$241,3,0)),($F10+$G10))*(IF($E10=6,$I10,((MIN((VLOOKUP($E10,$A$232:$E$241,5,0)),$I10)))))))))*$J10</f>
        <v>0</v>
      </c>
      <c r="L10" s="332">
        <f t="shared" si="4"/>
        <v>0</v>
      </c>
      <c r="M10" s="333">
        <f t="shared" si="5"/>
        <v>0</v>
      </c>
      <c r="N10" s="277" t="str">
        <f>IF(E10&gt;0,MIN((VLOOKUP($E10,$A$232:$C$241,3,0)),($F10+$G10)),"")</f>
        <v/>
      </c>
      <c r="O10" s="273">
        <f>IF(E10=6,(MIN(VLOOKUP($E10,$A$232:$E$241,5,0),H10)),H10)</f>
        <v>0</v>
      </c>
      <c r="P10" s="272">
        <f>IF(E10=6,I10,IF(E10&gt;0,MIN((VLOOKUP($E10,$A$232:$E$241,5,0)),(I10)),0))*(1-$T$2)</f>
        <v>0</v>
      </c>
      <c r="Q10" s="62">
        <f t="shared" si="6"/>
        <v>0</v>
      </c>
      <c r="R10" s="274" t="str">
        <f t="shared" si="7"/>
        <v/>
      </c>
      <c r="S10" s="269">
        <f>(IF(OR($B10=0,$C10=0,$D10=0),0,IF(OR($E10=0,($G10+$F10=0),$H10=0),0,MIN((VLOOKUP($E10,$A$232:$C$241,3,0))*(IF($E10=6,$P10,$O10))*((MIN((VLOOKUP($E10,$A$232:$E$241,5,0)),(IF($E10=6,$O10,$P10))))),MIN((VLOOKUP($E10,$A$232:$C$241,3,0)),($F10+$G10))*(IF($E10=6,$P10,((MIN((VLOOKUP($E10,$A$232:$E$241,5,0)),$P10)))))))))*$Q10</f>
        <v>0</v>
      </c>
      <c r="T10" s="101">
        <f t="shared" si="8"/>
        <v>0</v>
      </c>
      <c r="U10" s="122"/>
      <c r="V10" s="300"/>
      <c r="W10" s="131">
        <f t="shared" si="0"/>
        <v>0</v>
      </c>
      <c r="X10" s="62">
        <f t="shared" si="1"/>
        <v>0</v>
      </c>
      <c r="Y10" s="63" t="str">
        <f t="shared" si="2"/>
        <v/>
      </c>
      <c r="Z10" s="133">
        <f>(IF(OR($B10=0,$C10=0,$D10=0),0,IF(OR($E10=0,($G10+$F10=0),$H10=0),0,MIN((VLOOKUP($E10,$A$232:$C$241,3,0))*(IF($E10=6,$W10,$O10))*((MIN((VLOOKUP($E10,$A$232:$E$241,5,0)),(IF($E10=6,$O10,$W10))))),MIN((VLOOKUP($E10,$A$232:$C$241,3,0)),($F10+$G10))*(IF($E10=6,$W10,((MIN((VLOOKUP($E10,$A$232:$E$241,5,0)),$W10)))))))))*$X10</f>
        <v>0</v>
      </c>
      <c r="AA10" s="139">
        <f t="shared" si="3"/>
        <v>0</v>
      </c>
      <c r="AB10" s="126"/>
      <c r="AC10" s="295"/>
      <c r="AD10" s="295"/>
      <c r="AF10" s="359">
        <f t="shared" si="9"/>
        <v>0</v>
      </c>
    </row>
    <row r="11" spans="1:239" s="22" customFormat="1" ht="24.75" customHeight="1" x14ac:dyDescent="0.2">
      <c r="A11" s="177">
        <v>8</v>
      </c>
      <c r="B11" s="325"/>
      <c r="C11" s="325"/>
      <c r="D11" s="325"/>
      <c r="E11" s="326"/>
      <c r="F11" s="327"/>
      <c r="G11" s="328"/>
      <c r="H11" s="329"/>
      <c r="I11" s="329"/>
      <c r="J11" s="330"/>
      <c r="K11" s="331">
        <f>(IF(OR($B11=0,$C11=0,$D11=0),0,IF(OR($E11=0,($G11+$F11=0),$H11=0),0,MIN((VLOOKUP($E11,$A$232:$C$241,3,0))*(IF($E11=6,$I11,$H11))*((MIN((VLOOKUP($E11,$A$232:$E$241,5,0)),(IF($E11=6,$H11,$I11))))),MIN((VLOOKUP($E11,$A$232:$C$241,3,0)),($F11+$G11))*(IF($E11=6,$I11,((MIN((VLOOKUP($E11,$A$232:$E$241,5,0)),$I11)))))))))*$J11</f>
        <v>0</v>
      </c>
      <c r="L11" s="332">
        <f t="shared" si="4"/>
        <v>0</v>
      </c>
      <c r="M11" s="333">
        <f t="shared" si="5"/>
        <v>0</v>
      </c>
      <c r="N11" s="277" t="str">
        <f>IF(E11&gt;0,MIN((VLOOKUP($E11,$A$232:$C$241,3,0)),($F11+$G11)),"")</f>
        <v/>
      </c>
      <c r="O11" s="273">
        <f>IF(E11=6,(MIN(VLOOKUP($E11,$A$232:$E$241,5,0),H11)),H11)</f>
        <v>0</v>
      </c>
      <c r="P11" s="272">
        <f>IF(E11=6,I11,IF(E11&gt;0,MIN((VLOOKUP($E11,$A$232:$E$241,5,0)),(I11)),0))*(1-$T$2)</f>
        <v>0</v>
      </c>
      <c r="Q11" s="62">
        <f t="shared" si="6"/>
        <v>0</v>
      </c>
      <c r="R11" s="274" t="str">
        <f t="shared" si="7"/>
        <v/>
      </c>
      <c r="S11" s="269">
        <f>(IF(OR($B11=0,$C11=0,$D11=0),0,IF(OR($E11=0,($G11+$F11=0),$H11=0),0,MIN((VLOOKUP($E11,$A$232:$C$241,3,0))*(IF($E11=6,$P11,$O11))*((MIN((VLOOKUP($E11,$A$232:$E$241,5,0)),(IF($E11=6,$O11,$P11))))),MIN((VLOOKUP($E11,$A$232:$C$241,3,0)),($F11+$G11))*(IF($E11=6,$P11,((MIN((VLOOKUP($E11,$A$232:$E$241,5,0)),$P11)))))))))*$Q11</f>
        <v>0</v>
      </c>
      <c r="T11" s="101">
        <f t="shared" si="8"/>
        <v>0</v>
      </c>
      <c r="U11" s="122"/>
      <c r="V11" s="300"/>
      <c r="W11" s="131">
        <f t="shared" si="0"/>
        <v>0</v>
      </c>
      <c r="X11" s="62">
        <f t="shared" si="1"/>
        <v>0</v>
      </c>
      <c r="Y11" s="63" t="str">
        <f t="shared" si="2"/>
        <v/>
      </c>
      <c r="Z11" s="133">
        <f>(IF(OR($B11=0,$C11=0,$D11=0),0,IF(OR($E11=0,($G11+$F11=0),$H11=0),0,MIN((VLOOKUP($E11,$A$232:$C$241,3,0))*(IF($E11=6,$W11,$O11))*((MIN((VLOOKUP($E11,$A$232:$E$241,5,0)),(IF($E11=6,$O11,$W11))))),MIN((VLOOKUP($E11,$A$232:$C$241,3,0)),($F11+$G11))*(IF($E11=6,$W11,((MIN((VLOOKUP($E11,$A$232:$E$241,5,0)),$W11)))))))))*$X11</f>
        <v>0</v>
      </c>
      <c r="AA11" s="139">
        <f t="shared" si="3"/>
        <v>0</v>
      </c>
      <c r="AB11" s="126"/>
      <c r="AC11" s="295"/>
      <c r="AD11" s="295"/>
      <c r="AF11" s="359">
        <f t="shared" si="9"/>
        <v>0</v>
      </c>
    </row>
    <row r="12" spans="1:239" s="22" customFormat="1" ht="24.75" customHeight="1" x14ac:dyDescent="0.2">
      <c r="A12" s="177">
        <v>9</v>
      </c>
      <c r="B12" s="325"/>
      <c r="C12" s="325"/>
      <c r="D12" s="325"/>
      <c r="E12" s="326"/>
      <c r="F12" s="327"/>
      <c r="G12" s="328"/>
      <c r="H12" s="329"/>
      <c r="I12" s="329"/>
      <c r="J12" s="330"/>
      <c r="K12" s="331">
        <f>(IF(OR($B12=0,$C12=0,$D12=0),0,IF(OR($E12=0,($G12+$F12=0),$H12=0),0,MIN((VLOOKUP($E12,$A$232:$C$241,3,0))*(IF($E12=6,$I12,$H12))*((MIN((VLOOKUP($E12,$A$232:$E$241,5,0)),(IF($E12=6,$H12,$I12))))),MIN((VLOOKUP($E12,$A$232:$C$241,3,0)),($F12+$G12))*(IF($E12=6,$I12,((MIN((VLOOKUP($E12,$A$232:$E$241,5,0)),$I12)))))))))*$J12</f>
        <v>0</v>
      </c>
      <c r="L12" s="332">
        <f t="shared" si="4"/>
        <v>0</v>
      </c>
      <c r="M12" s="333">
        <f t="shared" si="5"/>
        <v>0</v>
      </c>
      <c r="N12" s="277" t="str">
        <f>IF(E12&gt;0,MIN((VLOOKUP($E12,$A$232:$C$241,3,0)),($F12+$G12)),"")</f>
        <v/>
      </c>
      <c r="O12" s="273">
        <f>IF(E12=6,(MIN(VLOOKUP($E12,$A$232:$E$241,5,0),H12)),H12)</f>
        <v>0</v>
      </c>
      <c r="P12" s="272">
        <f>IF(E12=6,I12,IF(E12&gt;0,MIN((VLOOKUP($E12,$A$232:$E$241,5,0)),(I12)),0))*(1-$T$2)</f>
        <v>0</v>
      </c>
      <c r="Q12" s="62">
        <f t="shared" si="6"/>
        <v>0</v>
      </c>
      <c r="R12" s="274" t="str">
        <f t="shared" si="7"/>
        <v/>
      </c>
      <c r="S12" s="269">
        <f>(IF(OR($B12=0,$C12=0,$D12=0),0,IF(OR($E12=0,($G12+$F12=0),$H12=0),0,MIN((VLOOKUP($E12,$A$232:$C$241,3,0))*(IF($E12=6,$P12,$O12))*((MIN((VLOOKUP($E12,$A$232:$E$241,5,0)),(IF($E12=6,$O12,$P12))))),MIN((VLOOKUP($E12,$A$232:$C$241,3,0)),($F12+$G12))*(IF($E12=6,$P12,((MIN((VLOOKUP($E12,$A$232:$E$241,5,0)),$P12)))))))))*$Q12</f>
        <v>0</v>
      </c>
      <c r="T12" s="101">
        <f t="shared" si="8"/>
        <v>0</v>
      </c>
      <c r="U12" s="122"/>
      <c r="V12" s="300"/>
      <c r="W12" s="131">
        <f t="shared" si="0"/>
        <v>0</v>
      </c>
      <c r="X12" s="62">
        <f t="shared" si="1"/>
        <v>0</v>
      </c>
      <c r="Y12" s="63" t="str">
        <f t="shared" si="2"/>
        <v/>
      </c>
      <c r="Z12" s="133">
        <f>(IF(OR($B12=0,$C12=0,$D12=0),0,IF(OR($E12=0,($G12+$F12=0),$H12=0),0,MIN((VLOOKUP($E12,$A$232:$C$241,3,0))*(IF($E12=6,$W12,$O12))*((MIN((VLOOKUP($E12,$A$232:$E$241,5,0)),(IF($E12=6,$O12,$W12))))),MIN((VLOOKUP($E12,$A$232:$C$241,3,0)),($F12+$G12))*(IF($E12=6,$W12,((MIN((VLOOKUP($E12,$A$232:$E$241,5,0)),$W12)))))))))*$X12</f>
        <v>0</v>
      </c>
      <c r="AA12" s="139">
        <f t="shared" si="3"/>
        <v>0</v>
      </c>
      <c r="AB12" s="126"/>
      <c r="AC12" s="295"/>
      <c r="AD12" s="295"/>
      <c r="AF12" s="359">
        <f t="shared" si="9"/>
        <v>0</v>
      </c>
    </row>
    <row r="13" spans="1:239" s="22" customFormat="1" ht="24.75" customHeight="1" x14ac:dyDescent="0.2">
      <c r="A13" s="177">
        <v>10</v>
      </c>
      <c r="B13" s="325"/>
      <c r="C13" s="325"/>
      <c r="D13" s="325"/>
      <c r="E13" s="326"/>
      <c r="F13" s="327"/>
      <c r="G13" s="328"/>
      <c r="H13" s="329"/>
      <c r="I13" s="329"/>
      <c r="J13" s="330"/>
      <c r="K13" s="331">
        <f>(IF(OR($B13=0,$C13=0,$D13=0),0,IF(OR($E13=0,($G13+$F13=0),$H13=0),0,MIN((VLOOKUP($E13,$A$232:$C$241,3,0))*(IF($E13=6,$I13,$H13))*((MIN((VLOOKUP($E13,$A$232:$E$241,5,0)),(IF($E13=6,$H13,$I13))))),MIN((VLOOKUP($E13,$A$232:$C$241,3,0)),($F13+$G13))*(IF($E13=6,$I13,((MIN((VLOOKUP($E13,$A$232:$E$241,5,0)),$I13)))))))))*$J13</f>
        <v>0</v>
      </c>
      <c r="L13" s="332">
        <f t="shared" si="4"/>
        <v>0</v>
      </c>
      <c r="M13" s="333">
        <f t="shared" si="5"/>
        <v>0</v>
      </c>
      <c r="N13" s="277" t="str">
        <f>IF(E13&gt;0,MIN((VLOOKUP($E13,$A$232:$C$241,3,0)),($F13+$G13)),"")</f>
        <v/>
      </c>
      <c r="O13" s="273">
        <f>IF(E13=6,(MIN(VLOOKUP($E13,$A$232:$E$241,5,0),H13)),H13)</f>
        <v>0</v>
      </c>
      <c r="P13" s="272">
        <f>IF(E13=6,I13,IF(E13&gt;0,MIN((VLOOKUP($E13,$A$232:$E$241,5,0)),(I13)),0))*(1-$T$2)</f>
        <v>0</v>
      </c>
      <c r="Q13" s="62">
        <f t="shared" si="6"/>
        <v>0</v>
      </c>
      <c r="R13" s="274" t="str">
        <f t="shared" si="7"/>
        <v/>
      </c>
      <c r="S13" s="269">
        <f>(IF(OR($B13=0,$C13=0,$D13=0),0,IF(OR($E13=0,($G13+$F13=0),$H13=0),0,MIN((VLOOKUP($E13,$A$232:$C$241,3,0))*(IF($E13=6,$P13,$O13))*((MIN((VLOOKUP($E13,$A$232:$E$241,5,0)),(IF($E13=6,$O13,$P13))))),MIN((VLOOKUP($E13,$A$232:$C$241,3,0)),($F13+$G13))*(IF($E13=6,$P13,((MIN((VLOOKUP($E13,$A$232:$E$241,5,0)),$P13)))))))))*$Q13</f>
        <v>0</v>
      </c>
      <c r="T13" s="101">
        <f t="shared" si="8"/>
        <v>0</v>
      </c>
      <c r="U13" s="122"/>
      <c r="V13" s="300"/>
      <c r="W13" s="131">
        <f t="shared" si="0"/>
        <v>0</v>
      </c>
      <c r="X13" s="62">
        <f t="shared" si="1"/>
        <v>0</v>
      </c>
      <c r="Y13" s="63" t="str">
        <f t="shared" si="2"/>
        <v/>
      </c>
      <c r="Z13" s="133">
        <f>(IF(OR($B13=0,$C13=0,$D13=0),0,IF(OR($E13=0,($G13+$F13=0),$H13=0),0,MIN((VLOOKUP($E13,$A$232:$C$241,3,0))*(IF($E13=6,$W13,$O13))*((MIN((VLOOKUP($E13,$A$232:$E$241,5,0)),(IF($E13=6,$O13,$W13))))),MIN((VLOOKUP($E13,$A$232:$C$241,3,0)),($F13+$G13))*(IF($E13=6,$W13,((MIN((VLOOKUP($E13,$A$232:$E$241,5,0)),$W13)))))))))*$X13</f>
        <v>0</v>
      </c>
      <c r="AA13" s="139">
        <f t="shared" si="3"/>
        <v>0</v>
      </c>
      <c r="AB13" s="126"/>
      <c r="AC13" s="295"/>
      <c r="AD13" s="295"/>
      <c r="AF13" s="359">
        <f t="shared" si="9"/>
        <v>0</v>
      </c>
    </row>
    <row r="14" spans="1:239" s="22" customFormat="1" ht="24.75" customHeight="1" x14ac:dyDescent="0.2">
      <c r="A14" s="177">
        <v>11</v>
      </c>
      <c r="B14" s="325"/>
      <c r="C14" s="325"/>
      <c r="D14" s="325"/>
      <c r="E14" s="326"/>
      <c r="F14" s="327"/>
      <c r="G14" s="328"/>
      <c r="H14" s="329"/>
      <c r="I14" s="329"/>
      <c r="J14" s="330"/>
      <c r="K14" s="331">
        <f>(IF(OR($B14=0,$C14=0,$D14=0),0,IF(OR($E14=0,($G14+$F14=0),$H14=0),0,MIN((VLOOKUP($E14,$A$232:$C$241,3,0))*(IF($E14=6,$I14,$H14))*((MIN((VLOOKUP($E14,$A$232:$E$241,5,0)),(IF($E14=6,$H14,$I14))))),MIN((VLOOKUP($E14,$A$232:$C$241,3,0)),($F14+$G14))*(IF($E14=6,$I14,((MIN((VLOOKUP($E14,$A$232:$E$241,5,0)),$I14)))))))))*$J14</f>
        <v>0</v>
      </c>
      <c r="L14" s="332">
        <f t="shared" si="4"/>
        <v>0</v>
      </c>
      <c r="M14" s="333">
        <f t="shared" si="5"/>
        <v>0</v>
      </c>
      <c r="N14" s="277" t="str">
        <f>IF(E14&gt;0,MIN((VLOOKUP($E14,$A$232:$C$241,3,0)),($F14+$G14)),"")</f>
        <v/>
      </c>
      <c r="O14" s="273">
        <f>IF(E14=6,(MIN(VLOOKUP($E14,$A$232:$E$241,5,0),H14)),H14)</f>
        <v>0</v>
      </c>
      <c r="P14" s="272">
        <f>IF(E14=6,I14,IF(E14&gt;0,MIN((VLOOKUP($E14,$A$232:$E$241,5,0)),(I14)),0))*(1-$T$2)</f>
        <v>0</v>
      </c>
      <c r="Q14" s="62">
        <f t="shared" si="6"/>
        <v>0</v>
      </c>
      <c r="R14" s="274" t="str">
        <f t="shared" si="7"/>
        <v/>
      </c>
      <c r="S14" s="269">
        <f>(IF(OR($B14=0,$C14=0,$D14=0),0,IF(OR($E14=0,($G14+$F14=0),$H14=0),0,MIN((VLOOKUP($E14,$A$232:$C$241,3,0))*(IF($E14=6,$P14,$O14))*((MIN((VLOOKUP($E14,$A$232:$E$241,5,0)),(IF($E14=6,$O14,$P14))))),MIN((VLOOKUP($E14,$A$232:$C$241,3,0)),($F14+$G14))*(IF($E14=6,$P14,((MIN((VLOOKUP($E14,$A$232:$E$241,5,0)),$P14)))))))))*$Q14</f>
        <v>0</v>
      </c>
      <c r="T14" s="101">
        <f t="shared" si="8"/>
        <v>0</v>
      </c>
      <c r="U14" s="122"/>
      <c r="V14" s="300"/>
      <c r="W14" s="131">
        <f t="shared" si="0"/>
        <v>0</v>
      </c>
      <c r="X14" s="62">
        <f t="shared" si="1"/>
        <v>0</v>
      </c>
      <c r="Y14" s="63" t="str">
        <f t="shared" si="2"/>
        <v/>
      </c>
      <c r="Z14" s="133">
        <f>(IF(OR($B14=0,$C14=0,$D14=0),0,IF(OR($E14=0,($G14+$F14=0),$H14=0),0,MIN((VLOOKUP($E14,$A$232:$C$241,3,0))*(IF($E14=6,$W14,$O14))*((MIN((VLOOKUP($E14,$A$232:$E$241,5,0)),(IF($E14=6,$O14,$W14))))),MIN((VLOOKUP($E14,$A$232:$C$241,3,0)),($F14+$G14))*(IF($E14=6,$W14,((MIN((VLOOKUP($E14,$A$232:$E$241,5,0)),$W14)))))))))*$X14</f>
        <v>0</v>
      </c>
      <c r="AA14" s="139">
        <f t="shared" si="3"/>
        <v>0</v>
      </c>
      <c r="AB14" s="126"/>
      <c r="AC14" s="295"/>
      <c r="AD14" s="295"/>
      <c r="AF14" s="359">
        <f t="shared" si="9"/>
        <v>0</v>
      </c>
    </row>
    <row r="15" spans="1:239" s="22" customFormat="1" ht="24.75" customHeight="1" x14ac:dyDescent="0.2">
      <c r="A15" s="177">
        <v>12</v>
      </c>
      <c r="B15" s="325"/>
      <c r="C15" s="325"/>
      <c r="D15" s="325"/>
      <c r="E15" s="326"/>
      <c r="F15" s="327"/>
      <c r="G15" s="328"/>
      <c r="H15" s="329"/>
      <c r="I15" s="329"/>
      <c r="J15" s="330"/>
      <c r="K15" s="331">
        <f>(IF(OR($B15=0,$C15=0,$D15=0),0,IF(OR($E15=0,($G15+$F15=0),$H15=0),0,MIN((VLOOKUP($E15,$A$232:$C$241,3,0))*(IF($E15=6,$I15,$H15))*((MIN((VLOOKUP($E15,$A$232:$E$241,5,0)),(IF($E15=6,$H15,$I15))))),MIN((VLOOKUP($E15,$A$232:$C$241,3,0)),($F15+$G15))*(IF($E15=6,$I15,((MIN((VLOOKUP($E15,$A$232:$E$241,5,0)),$I15)))))))))*$J15</f>
        <v>0</v>
      </c>
      <c r="L15" s="332">
        <f t="shared" si="4"/>
        <v>0</v>
      </c>
      <c r="M15" s="333">
        <f t="shared" si="5"/>
        <v>0</v>
      </c>
      <c r="N15" s="277" t="str">
        <f>IF(E15&gt;0,MIN((VLOOKUP($E15,$A$232:$C$241,3,0)),($F15+$G15)),"")</f>
        <v/>
      </c>
      <c r="O15" s="273">
        <f>IF(E15=6,(MIN(VLOOKUP($E15,$A$232:$E$241,5,0),H15)),H15)</f>
        <v>0</v>
      </c>
      <c r="P15" s="272">
        <f>IF(E15=6,I15,IF(E15&gt;0,MIN((VLOOKUP($E15,$A$232:$E$241,5,0)),(I15)),0))*(1-$T$2)</f>
        <v>0</v>
      </c>
      <c r="Q15" s="62">
        <f t="shared" si="6"/>
        <v>0</v>
      </c>
      <c r="R15" s="274" t="str">
        <f t="shared" si="7"/>
        <v/>
      </c>
      <c r="S15" s="269">
        <f>(IF(OR($B15=0,$C15=0,$D15=0),0,IF(OR($E15=0,($G15+$F15=0),$H15=0),0,MIN((VLOOKUP($E15,$A$232:$C$241,3,0))*(IF($E15=6,$P15,$O15))*((MIN((VLOOKUP($E15,$A$232:$E$241,5,0)),(IF($E15=6,$O15,$P15))))),MIN((VLOOKUP($E15,$A$232:$C$241,3,0)),($F15+$G15))*(IF($E15=6,$P15,((MIN((VLOOKUP($E15,$A$232:$E$241,5,0)),$P15)))))))))*$Q15</f>
        <v>0</v>
      </c>
      <c r="T15" s="101">
        <f t="shared" si="8"/>
        <v>0</v>
      </c>
      <c r="U15" s="122"/>
      <c r="V15" s="300"/>
      <c r="W15" s="131">
        <f t="shared" si="0"/>
        <v>0</v>
      </c>
      <c r="X15" s="62">
        <f t="shared" si="1"/>
        <v>0</v>
      </c>
      <c r="Y15" s="63" t="str">
        <f t="shared" si="2"/>
        <v/>
      </c>
      <c r="Z15" s="133">
        <f>(IF(OR($B15=0,$C15=0,$D15=0),0,IF(OR($E15=0,($G15+$F15=0),$H15=0),0,MIN((VLOOKUP($E15,$A$232:$C$241,3,0))*(IF($E15=6,$W15,$O15))*((MIN((VLOOKUP($E15,$A$232:$E$241,5,0)),(IF($E15=6,$O15,$W15))))),MIN((VLOOKUP($E15,$A$232:$C$241,3,0)),($F15+$G15))*(IF($E15=6,$W15,((MIN((VLOOKUP($E15,$A$232:$E$241,5,0)),$W15)))))))))*$X15</f>
        <v>0</v>
      </c>
      <c r="AA15" s="139">
        <f t="shared" si="3"/>
        <v>0</v>
      </c>
      <c r="AB15" s="126"/>
      <c r="AC15" s="295"/>
      <c r="AD15" s="295"/>
      <c r="AF15" s="359">
        <f t="shared" si="9"/>
        <v>0</v>
      </c>
    </row>
    <row r="16" spans="1:239" s="22" customFormat="1" ht="24.75" customHeight="1" x14ac:dyDescent="0.2">
      <c r="A16" s="177">
        <v>13</v>
      </c>
      <c r="B16" s="325"/>
      <c r="C16" s="325"/>
      <c r="D16" s="325"/>
      <c r="E16" s="326"/>
      <c r="F16" s="327"/>
      <c r="G16" s="328"/>
      <c r="H16" s="329"/>
      <c r="I16" s="329"/>
      <c r="J16" s="330"/>
      <c r="K16" s="331">
        <f>(IF(OR($B16=0,$C16=0,$D16=0),0,IF(OR($E16=0,($G16+$F16=0),$H16=0),0,MIN((VLOOKUP($E16,$A$232:$C$241,3,0))*(IF($E16=6,$I16,$H16))*((MIN((VLOOKUP($E16,$A$232:$E$241,5,0)),(IF($E16=6,$H16,$I16))))),MIN((VLOOKUP($E16,$A$232:$C$241,3,0)),($F16+$G16))*(IF($E16=6,$I16,((MIN((VLOOKUP($E16,$A$232:$E$241,5,0)),$I16)))))))))*$J16</f>
        <v>0</v>
      </c>
      <c r="L16" s="332">
        <f t="shared" si="4"/>
        <v>0</v>
      </c>
      <c r="M16" s="333">
        <f t="shared" si="5"/>
        <v>0</v>
      </c>
      <c r="N16" s="277" t="str">
        <f>IF(E16&gt;0,MIN((VLOOKUP($E16,$A$232:$C$241,3,0)),($F16+$G16)),"")</f>
        <v/>
      </c>
      <c r="O16" s="273">
        <f>IF(E16=6,(MIN(VLOOKUP($E16,$A$232:$E$241,5,0),H16)),H16)</f>
        <v>0</v>
      </c>
      <c r="P16" s="272">
        <f>IF(E16=6,I16,IF(E16&gt;0,MIN((VLOOKUP($E16,$A$232:$E$241,5,0)),(I16)),0))*(1-$T$2)</f>
        <v>0</v>
      </c>
      <c r="Q16" s="62">
        <f t="shared" si="6"/>
        <v>0</v>
      </c>
      <c r="R16" s="274" t="str">
        <f t="shared" si="7"/>
        <v/>
      </c>
      <c r="S16" s="269">
        <f>(IF(OR($B16=0,$C16=0,$D16=0),0,IF(OR($E16=0,($G16+$F16=0),$H16=0),0,MIN((VLOOKUP($E16,$A$232:$C$241,3,0))*(IF($E16=6,$P16,$O16))*((MIN((VLOOKUP($E16,$A$232:$E$241,5,0)),(IF($E16=6,$O16,$P16))))),MIN((VLOOKUP($E16,$A$232:$C$241,3,0)),($F16+$G16))*(IF($E16=6,$P16,((MIN((VLOOKUP($E16,$A$232:$E$241,5,0)),$P16)))))))))*$Q16</f>
        <v>0</v>
      </c>
      <c r="T16" s="101">
        <f t="shared" si="8"/>
        <v>0</v>
      </c>
      <c r="U16" s="122"/>
      <c r="V16" s="300"/>
      <c r="W16" s="131">
        <f t="shared" si="0"/>
        <v>0</v>
      </c>
      <c r="X16" s="62">
        <f t="shared" si="1"/>
        <v>0</v>
      </c>
      <c r="Y16" s="63" t="str">
        <f t="shared" si="2"/>
        <v/>
      </c>
      <c r="Z16" s="133">
        <f>(IF(OR($B16=0,$C16=0,$D16=0),0,IF(OR($E16=0,($G16+$F16=0),$H16=0),0,MIN((VLOOKUP($E16,$A$232:$C$241,3,0))*(IF($E16=6,$W16,$O16))*((MIN((VLOOKUP($E16,$A$232:$E$241,5,0)),(IF($E16=6,$O16,$W16))))),MIN((VLOOKUP($E16,$A$232:$C$241,3,0)),($F16+$G16))*(IF($E16=6,$W16,((MIN((VLOOKUP($E16,$A$232:$E$241,5,0)),$W16)))))))))*$X16</f>
        <v>0</v>
      </c>
      <c r="AA16" s="139">
        <f t="shared" si="3"/>
        <v>0</v>
      </c>
      <c r="AB16" s="126"/>
      <c r="AC16" s="295"/>
      <c r="AD16" s="295"/>
      <c r="AF16" s="359">
        <f t="shared" si="9"/>
        <v>0</v>
      </c>
    </row>
    <row r="17" spans="1:32" s="22" customFormat="1" ht="24.75" customHeight="1" x14ac:dyDescent="0.2">
      <c r="A17" s="177">
        <v>14</v>
      </c>
      <c r="B17" s="325"/>
      <c r="C17" s="325"/>
      <c r="D17" s="325"/>
      <c r="E17" s="326"/>
      <c r="F17" s="327"/>
      <c r="G17" s="328"/>
      <c r="H17" s="329"/>
      <c r="I17" s="329"/>
      <c r="J17" s="330"/>
      <c r="K17" s="331">
        <f>(IF(OR($B17=0,$C17=0,$D17=0),0,IF(OR($E17=0,($G17+$F17=0),$H17=0),0,MIN((VLOOKUP($E17,$A$232:$C$241,3,0))*(IF($E17=6,$I17,$H17))*((MIN((VLOOKUP($E17,$A$232:$E$241,5,0)),(IF($E17=6,$H17,$I17))))),MIN((VLOOKUP($E17,$A$232:$C$241,3,0)),($F17+$G17))*(IF($E17=6,$I17,((MIN((VLOOKUP($E17,$A$232:$E$241,5,0)),$I17)))))))))*$J17</f>
        <v>0</v>
      </c>
      <c r="L17" s="332">
        <f t="shared" si="4"/>
        <v>0</v>
      </c>
      <c r="M17" s="333">
        <f t="shared" si="5"/>
        <v>0</v>
      </c>
      <c r="N17" s="277" t="str">
        <f>IF(E17&gt;0,MIN((VLOOKUP($E17,$A$232:$C$241,3,0)),($F17+$G17)),"")</f>
        <v/>
      </c>
      <c r="O17" s="273">
        <f>IF(E17=6,(MIN(VLOOKUP($E17,$A$232:$E$241,5,0),H17)),H17)</f>
        <v>0</v>
      </c>
      <c r="P17" s="272">
        <f>IF(E17=6,I17,IF(E17&gt;0,MIN((VLOOKUP($E17,$A$232:$E$241,5,0)),(I17)),0))*(1-$T$2)</f>
        <v>0</v>
      </c>
      <c r="Q17" s="62">
        <f t="shared" si="6"/>
        <v>0</v>
      </c>
      <c r="R17" s="274" t="str">
        <f t="shared" si="7"/>
        <v/>
      </c>
      <c r="S17" s="269">
        <f>(IF(OR($B17=0,$C17=0,$D17=0),0,IF(OR($E17=0,($G17+$F17=0),$H17=0),0,MIN((VLOOKUP($E17,$A$232:$C$241,3,0))*(IF($E17=6,$P17,$O17))*((MIN((VLOOKUP($E17,$A$232:$E$241,5,0)),(IF($E17=6,$O17,$P17))))),MIN((VLOOKUP($E17,$A$232:$C$241,3,0)),($F17+$G17))*(IF($E17=6,$P17,((MIN((VLOOKUP($E17,$A$232:$E$241,5,0)),$P17)))))))))*$Q17</f>
        <v>0</v>
      </c>
      <c r="T17" s="101">
        <f t="shared" si="8"/>
        <v>0</v>
      </c>
      <c r="U17" s="122"/>
      <c r="V17" s="300"/>
      <c r="W17" s="131">
        <f t="shared" si="0"/>
        <v>0</v>
      </c>
      <c r="X17" s="62">
        <f t="shared" si="1"/>
        <v>0</v>
      </c>
      <c r="Y17" s="63" t="str">
        <f t="shared" si="2"/>
        <v/>
      </c>
      <c r="Z17" s="133">
        <f>(IF(OR($B17=0,$C17=0,$D17=0),0,IF(OR($E17=0,($G17+$F17=0),$H17=0),0,MIN((VLOOKUP($E17,$A$232:$C$241,3,0))*(IF($E17=6,$W17,$O17))*((MIN((VLOOKUP($E17,$A$232:$E$241,5,0)),(IF($E17=6,$O17,$W17))))),MIN((VLOOKUP($E17,$A$232:$C$241,3,0)),($F17+$G17))*(IF($E17=6,$W17,((MIN((VLOOKUP($E17,$A$232:$E$241,5,0)),$W17)))))))))*$X17</f>
        <v>0</v>
      </c>
      <c r="AA17" s="139">
        <f t="shared" si="3"/>
        <v>0</v>
      </c>
      <c r="AB17" s="126"/>
      <c r="AC17" s="295"/>
      <c r="AD17" s="295"/>
      <c r="AF17" s="359">
        <f t="shared" si="9"/>
        <v>0</v>
      </c>
    </row>
    <row r="18" spans="1:32" s="22" customFormat="1" ht="24.75" customHeight="1" x14ac:dyDescent="0.2">
      <c r="A18" s="177">
        <v>15</v>
      </c>
      <c r="B18" s="325"/>
      <c r="C18" s="325"/>
      <c r="D18" s="325"/>
      <c r="E18" s="326"/>
      <c r="F18" s="327"/>
      <c r="G18" s="328"/>
      <c r="H18" s="329"/>
      <c r="I18" s="329"/>
      <c r="J18" s="330"/>
      <c r="K18" s="331">
        <f>(IF(OR($B18=0,$C18=0,$D18=0),0,IF(OR($E18=0,($G18+$F18=0),$H18=0),0,MIN((VLOOKUP($E18,$A$232:$C$241,3,0))*(IF($E18=6,$I18,$H18))*((MIN((VLOOKUP($E18,$A$232:$E$241,5,0)),(IF($E18=6,$H18,$I18))))),MIN((VLOOKUP($E18,$A$232:$C$241,3,0)),($F18+$G18))*(IF($E18=6,$I18,((MIN((VLOOKUP($E18,$A$232:$E$241,5,0)),$I18)))))))))*$J18</f>
        <v>0</v>
      </c>
      <c r="L18" s="332">
        <f t="shared" si="4"/>
        <v>0</v>
      </c>
      <c r="M18" s="333">
        <f t="shared" si="5"/>
        <v>0</v>
      </c>
      <c r="N18" s="277" t="str">
        <f>IF(E18&gt;0,MIN((VLOOKUP($E18,$A$232:$C$241,3,0)),($F18+$G18)),"")</f>
        <v/>
      </c>
      <c r="O18" s="273">
        <f>IF(E18=6,(MIN(VLOOKUP($E18,$A$232:$E$241,5,0),H18)),H18)</f>
        <v>0</v>
      </c>
      <c r="P18" s="272">
        <f>IF(E18=6,I18,IF(E18&gt;0,MIN((VLOOKUP($E18,$A$232:$E$241,5,0)),(I18)),0))*(1-$T$2)</f>
        <v>0</v>
      </c>
      <c r="Q18" s="62">
        <f t="shared" si="6"/>
        <v>0</v>
      </c>
      <c r="R18" s="274" t="str">
        <f t="shared" si="7"/>
        <v/>
      </c>
      <c r="S18" s="269">
        <f>(IF(OR($B18=0,$C18=0,$D18=0),0,IF(OR($E18=0,($G18+$F18=0),$H18=0),0,MIN((VLOOKUP($E18,$A$232:$C$241,3,0))*(IF($E18=6,$P18,$O18))*((MIN((VLOOKUP($E18,$A$232:$E$241,5,0)),(IF($E18=6,$O18,$P18))))),MIN((VLOOKUP($E18,$A$232:$C$241,3,0)),($F18+$G18))*(IF($E18=6,$P18,((MIN((VLOOKUP($E18,$A$232:$E$241,5,0)),$P18)))))))))*$Q18</f>
        <v>0</v>
      </c>
      <c r="T18" s="101">
        <f t="shared" si="8"/>
        <v>0</v>
      </c>
      <c r="U18" s="122"/>
      <c r="V18" s="300"/>
      <c r="W18" s="131">
        <f t="shared" si="0"/>
        <v>0</v>
      </c>
      <c r="X18" s="62">
        <f t="shared" si="1"/>
        <v>0</v>
      </c>
      <c r="Y18" s="63" t="str">
        <f t="shared" si="2"/>
        <v/>
      </c>
      <c r="Z18" s="133">
        <f>(IF(OR($B18=0,$C18=0,$D18=0),0,IF(OR($E18=0,($G18+$F18=0),$H18=0),0,MIN((VLOOKUP($E18,$A$232:$C$241,3,0))*(IF($E18=6,$W18,$O18))*((MIN((VLOOKUP($E18,$A$232:$E$241,5,0)),(IF($E18=6,$O18,$W18))))),MIN((VLOOKUP($E18,$A$232:$C$241,3,0)),($F18+$G18))*(IF($E18=6,$W18,((MIN((VLOOKUP($E18,$A$232:$E$241,5,0)),$W18)))))))))*$X18</f>
        <v>0</v>
      </c>
      <c r="AA18" s="139">
        <f t="shared" si="3"/>
        <v>0</v>
      </c>
      <c r="AB18" s="126"/>
      <c r="AC18" s="295"/>
      <c r="AD18" s="295"/>
      <c r="AF18" s="359">
        <f t="shared" si="9"/>
        <v>0</v>
      </c>
    </row>
    <row r="19" spans="1:32" s="22" customFormat="1" ht="24.75" customHeight="1" x14ac:dyDescent="0.2">
      <c r="A19" s="177">
        <v>16</v>
      </c>
      <c r="B19" s="325"/>
      <c r="C19" s="325"/>
      <c r="D19" s="325"/>
      <c r="E19" s="326"/>
      <c r="F19" s="327"/>
      <c r="G19" s="328"/>
      <c r="H19" s="329"/>
      <c r="I19" s="329"/>
      <c r="J19" s="330"/>
      <c r="K19" s="331">
        <f>(IF(OR($B19=0,$C19=0,$D19=0),0,IF(OR($E19=0,($G19+$F19=0),$H19=0),0,MIN((VLOOKUP($E19,$A$232:$C$241,3,0))*(IF($E19=6,$I19,$H19))*((MIN((VLOOKUP($E19,$A$232:$E$241,5,0)),(IF($E19=6,$H19,$I19))))),MIN((VLOOKUP($E19,$A$232:$C$241,3,0)),($F19+$G19))*(IF($E19=6,$I19,((MIN((VLOOKUP($E19,$A$232:$E$241,5,0)),$I19)))))))))*$J19</f>
        <v>0</v>
      </c>
      <c r="L19" s="332">
        <f t="shared" si="4"/>
        <v>0</v>
      </c>
      <c r="M19" s="333">
        <f t="shared" si="5"/>
        <v>0</v>
      </c>
      <c r="N19" s="277" t="str">
        <f>IF(E19&gt;0,MIN((VLOOKUP($E19,$A$232:$C$241,3,0)),($F19+$G19)),"")</f>
        <v/>
      </c>
      <c r="O19" s="273">
        <f>IF(E19=6,(MIN(VLOOKUP($E19,$A$232:$E$241,5,0),H19)),H19)</f>
        <v>0</v>
      </c>
      <c r="P19" s="272">
        <f>IF(E19=6,I19,IF(E19&gt;0,MIN((VLOOKUP($E19,$A$232:$E$241,5,0)),(I19)),0))*(1-$T$2)</f>
        <v>0</v>
      </c>
      <c r="Q19" s="62">
        <f t="shared" si="6"/>
        <v>0</v>
      </c>
      <c r="R19" s="274" t="str">
        <f t="shared" si="7"/>
        <v/>
      </c>
      <c r="S19" s="269">
        <f>(IF(OR($B19=0,$C19=0,$D19=0),0,IF(OR($E19=0,($G19+$F19=0),$H19=0),0,MIN((VLOOKUP($E19,$A$232:$C$241,3,0))*(IF($E19=6,$P19,$O19))*((MIN((VLOOKUP($E19,$A$232:$E$241,5,0)),(IF($E19=6,$O19,$P19))))),MIN((VLOOKUP($E19,$A$232:$C$241,3,0)),($F19+$G19))*(IF($E19=6,$P19,((MIN((VLOOKUP($E19,$A$232:$E$241,5,0)),$P19)))))))))*$Q19</f>
        <v>0</v>
      </c>
      <c r="T19" s="101">
        <f t="shared" si="8"/>
        <v>0</v>
      </c>
      <c r="U19" s="122"/>
      <c r="V19" s="300"/>
      <c r="W19" s="131">
        <f>IF($AA$2&gt;0,(1-$AA$2)*P19,P19)</f>
        <v>0</v>
      </c>
      <c r="X19" s="62">
        <f t="shared" si="1"/>
        <v>0</v>
      </c>
      <c r="Y19" s="63" t="str">
        <f t="shared" si="2"/>
        <v/>
      </c>
      <c r="Z19" s="133">
        <f>(IF(OR($B19=0,$C19=0,$D19=0),0,IF(OR($E19=0,($G19+$F19=0),$H19=0),0,MIN((VLOOKUP($E19,$A$232:$C$241,3,0))*(IF($E19=6,$W19,$O19))*((MIN((VLOOKUP($E19,$A$232:$E$241,5,0)),(IF($E19=6,$O19,$W19))))),MIN((VLOOKUP($E19,$A$232:$C$241,3,0)),($F19+$G19))*(IF($E19=6,$W19,((MIN((VLOOKUP($E19,$A$232:$E$241,5,0)),$W19)))))))))*$X19</f>
        <v>0</v>
      </c>
      <c r="AA19" s="139">
        <f t="shared" si="3"/>
        <v>0</v>
      </c>
      <c r="AB19" s="126"/>
      <c r="AC19" s="295"/>
      <c r="AD19" s="295"/>
      <c r="AF19" s="359">
        <f t="shared" si="9"/>
        <v>0</v>
      </c>
    </row>
    <row r="20" spans="1:32" s="22" customFormat="1" ht="24.75" customHeight="1" x14ac:dyDescent="0.2">
      <c r="A20" s="177">
        <v>17</v>
      </c>
      <c r="B20" s="325"/>
      <c r="C20" s="325"/>
      <c r="D20" s="325"/>
      <c r="E20" s="326"/>
      <c r="F20" s="327"/>
      <c r="G20" s="328"/>
      <c r="H20" s="329"/>
      <c r="I20" s="329"/>
      <c r="J20" s="330"/>
      <c r="K20" s="331">
        <f>(IF(OR($B20=0,$C20=0,$D20=0),0,IF(OR($E20=0,($G20+$F20=0),$H20=0),0,MIN((VLOOKUP($E20,$A$232:$C$241,3,0))*(IF($E20=6,$I20,$H20))*((MIN((VLOOKUP($E20,$A$232:$E$241,5,0)),(IF($E20=6,$H20,$I20))))),MIN((VLOOKUP($E20,$A$232:$C$241,3,0)),($F20+$G20))*(IF($E20=6,$I20,((MIN((VLOOKUP($E20,$A$232:$E$241,5,0)),$I20)))))))))*$J20</f>
        <v>0</v>
      </c>
      <c r="L20" s="332">
        <f t="shared" si="4"/>
        <v>0</v>
      </c>
      <c r="M20" s="333">
        <f t="shared" si="5"/>
        <v>0</v>
      </c>
      <c r="N20" s="277" t="str">
        <f>IF(E20&gt;0,MIN((VLOOKUP($E20,$A$232:$C$241,3,0)),($F20+$G20)),"")</f>
        <v/>
      </c>
      <c r="O20" s="273">
        <f>IF(E20=6,(MIN(VLOOKUP($E20,$A$232:$E$241,5,0),H20)),H20)</f>
        <v>0</v>
      </c>
      <c r="P20" s="272">
        <f>IF(E20=6,I20,IF(E20&gt;0,MIN((VLOOKUP($E20,$A$232:$E$241,5,0)),(I20)),0))*(1-$T$2)</f>
        <v>0</v>
      </c>
      <c r="Q20" s="62">
        <f t="shared" si="6"/>
        <v>0</v>
      </c>
      <c r="R20" s="274" t="str">
        <f t="shared" si="7"/>
        <v/>
      </c>
      <c r="S20" s="269">
        <f>(IF(OR($B20=0,$C20=0,$D20=0),0,IF(OR($E20=0,($G20+$F20=0),$H20=0),0,MIN((VLOOKUP($E20,$A$232:$C$241,3,0))*(IF($E20=6,$P20,$O20))*((MIN((VLOOKUP($E20,$A$232:$E$241,5,0)),(IF($E20=6,$O20,$P20))))),MIN((VLOOKUP($E20,$A$232:$C$241,3,0)),($F20+$G20))*(IF($E20=6,$P20,((MIN((VLOOKUP($E20,$A$232:$E$241,5,0)),$P20)))))))))*$Q20</f>
        <v>0</v>
      </c>
      <c r="T20" s="101">
        <f t="shared" si="8"/>
        <v>0</v>
      </c>
      <c r="U20" s="122"/>
      <c r="V20" s="300"/>
      <c r="W20" s="131">
        <f t="shared" ref="W20:W83" si="10">IF($AA$2&gt;0,(1-$AA$2)*P20,P20)</f>
        <v>0</v>
      </c>
      <c r="X20" s="62">
        <f t="shared" si="1"/>
        <v>0</v>
      </c>
      <c r="Y20" s="63" t="str">
        <f t="shared" si="2"/>
        <v/>
      </c>
      <c r="Z20" s="133">
        <f>(IF(OR($B20=0,$C20=0,$D20=0),0,IF(OR($E20=0,($G20+$F20=0),$H20=0),0,MIN((VLOOKUP($E20,$A$232:$C$241,3,0))*(IF($E20=6,$W20,$O20))*((MIN((VLOOKUP($E20,$A$232:$E$241,5,0)),(IF($E20=6,$O20,$W20))))),MIN((VLOOKUP($E20,$A$232:$C$241,3,0)),($F20+$G20))*(IF($E20=6,$W20,((MIN((VLOOKUP($E20,$A$232:$E$241,5,0)),$W20)))))))))*$X20</f>
        <v>0</v>
      </c>
      <c r="AA20" s="139">
        <f t="shared" si="3"/>
        <v>0</v>
      </c>
      <c r="AB20" s="126"/>
      <c r="AC20" s="295"/>
      <c r="AD20" s="295"/>
      <c r="AF20" s="359">
        <f t="shared" si="9"/>
        <v>0</v>
      </c>
    </row>
    <row r="21" spans="1:32" s="22" customFormat="1" ht="24.75" customHeight="1" x14ac:dyDescent="0.2">
      <c r="A21" s="177">
        <v>18</v>
      </c>
      <c r="B21" s="325"/>
      <c r="C21" s="325"/>
      <c r="D21" s="325"/>
      <c r="E21" s="326"/>
      <c r="F21" s="327"/>
      <c r="G21" s="328"/>
      <c r="H21" s="329"/>
      <c r="I21" s="329"/>
      <c r="J21" s="330"/>
      <c r="K21" s="331">
        <f>(IF(OR($B21=0,$C21=0,$D21=0),0,IF(OR($E21=0,($G21+$F21=0),$H21=0),0,MIN((VLOOKUP($E21,$A$232:$C$241,3,0))*(IF($E21=6,$I21,$H21))*((MIN((VLOOKUP($E21,$A$232:$E$241,5,0)),(IF($E21=6,$H21,$I21))))),MIN((VLOOKUP($E21,$A$232:$C$241,3,0)),($F21+$G21))*(IF($E21=6,$I21,((MIN((VLOOKUP($E21,$A$232:$E$241,5,0)),$I21)))))))))*$J21</f>
        <v>0</v>
      </c>
      <c r="L21" s="332">
        <f t="shared" si="4"/>
        <v>0</v>
      </c>
      <c r="M21" s="333">
        <f t="shared" si="5"/>
        <v>0</v>
      </c>
      <c r="N21" s="277" t="str">
        <f>IF(E21&gt;0,MIN((VLOOKUP($E21,$A$232:$C$241,3,0)),($F21+$G21)),"")</f>
        <v/>
      </c>
      <c r="O21" s="273">
        <f>IF(E21=6,(MIN(VLOOKUP($E21,$A$232:$E$241,5,0),H21)),H21)</f>
        <v>0</v>
      </c>
      <c r="P21" s="272">
        <f>IF(E21=6,I21,IF(E21&gt;0,MIN((VLOOKUP($E21,$A$232:$E$241,5,0)),(I21)),0))*(1-$T$2)</f>
        <v>0</v>
      </c>
      <c r="Q21" s="62">
        <f t="shared" si="6"/>
        <v>0</v>
      </c>
      <c r="R21" s="274" t="str">
        <f t="shared" si="7"/>
        <v/>
      </c>
      <c r="S21" s="269">
        <f>(IF(OR($B21=0,$C21=0,$D21=0),0,IF(OR($E21=0,($G21+$F21=0),$H21=0),0,MIN((VLOOKUP($E21,$A$232:$C$241,3,0))*(IF($E21=6,$P21,$O21))*((MIN((VLOOKUP($E21,$A$232:$E$241,5,0)),(IF($E21=6,$O21,$P21))))),MIN((VLOOKUP($E21,$A$232:$C$241,3,0)),($F21+$G21))*(IF($E21=6,$P21,((MIN((VLOOKUP($E21,$A$232:$E$241,5,0)),$P21)))))))))*$Q21</f>
        <v>0</v>
      </c>
      <c r="T21" s="101">
        <f t="shared" si="8"/>
        <v>0</v>
      </c>
      <c r="U21" s="122"/>
      <c r="V21" s="300"/>
      <c r="W21" s="131">
        <f t="shared" si="10"/>
        <v>0</v>
      </c>
      <c r="X21" s="62">
        <f t="shared" si="1"/>
        <v>0</v>
      </c>
      <c r="Y21" s="63" t="str">
        <f t="shared" si="2"/>
        <v/>
      </c>
      <c r="Z21" s="133">
        <f>(IF(OR($B21=0,$C21=0,$D21=0),0,IF(OR($E21=0,($G21+$F21=0),$H21=0),0,MIN((VLOOKUP($E21,$A$232:$C$241,3,0))*(IF($E21=6,$W21,$O21))*((MIN((VLOOKUP($E21,$A$232:$E$241,5,0)),(IF($E21=6,$O21,$W21))))),MIN((VLOOKUP($E21,$A$232:$C$241,3,0)),($F21+$G21))*(IF($E21=6,$W21,((MIN((VLOOKUP($E21,$A$232:$E$241,5,0)),$W21)))))))))*$X21</f>
        <v>0</v>
      </c>
      <c r="AA21" s="139">
        <f t="shared" si="3"/>
        <v>0</v>
      </c>
      <c r="AB21" s="126"/>
      <c r="AC21" s="295"/>
      <c r="AD21" s="295"/>
      <c r="AF21" s="359">
        <f t="shared" si="9"/>
        <v>0</v>
      </c>
    </row>
    <row r="22" spans="1:32" s="22" customFormat="1" ht="24.75" customHeight="1" x14ac:dyDescent="0.2">
      <c r="A22" s="177">
        <v>19</v>
      </c>
      <c r="B22" s="325"/>
      <c r="C22" s="325"/>
      <c r="D22" s="325"/>
      <c r="E22" s="326"/>
      <c r="F22" s="327"/>
      <c r="G22" s="328"/>
      <c r="H22" s="329"/>
      <c r="I22" s="329"/>
      <c r="J22" s="330"/>
      <c r="K22" s="331">
        <f>(IF(OR($B22=0,$C22=0,$D22=0),0,IF(OR($E22=0,($G22+$F22=0),$H22=0),0,MIN((VLOOKUP($E22,$A$232:$C$241,3,0))*(IF($E22=6,$I22,$H22))*((MIN((VLOOKUP($E22,$A$232:$E$241,5,0)),(IF($E22=6,$H22,$I22))))),MIN((VLOOKUP($E22,$A$232:$C$241,3,0)),($F22+$G22))*(IF($E22=6,$I22,((MIN((VLOOKUP($E22,$A$232:$E$241,5,0)),$I22)))))))))*$J22</f>
        <v>0</v>
      </c>
      <c r="L22" s="332">
        <f t="shared" si="4"/>
        <v>0</v>
      </c>
      <c r="M22" s="333">
        <f t="shared" si="5"/>
        <v>0</v>
      </c>
      <c r="N22" s="277" t="str">
        <f>IF(E22&gt;0,MIN((VLOOKUP($E22,$A$232:$C$241,3,0)),($F22+$G22)),"")</f>
        <v/>
      </c>
      <c r="O22" s="273">
        <f>IF(E22=6,(MIN(VLOOKUP($E22,$A$232:$E$241,5,0),H22)),H22)</f>
        <v>0</v>
      </c>
      <c r="P22" s="272">
        <f>IF(E22=6,I22,IF(E22&gt;0,MIN((VLOOKUP($E22,$A$232:$E$241,5,0)),(I22)),0))*(1-$T$2)</f>
        <v>0</v>
      </c>
      <c r="Q22" s="62">
        <f t="shared" si="6"/>
        <v>0</v>
      </c>
      <c r="R22" s="274" t="str">
        <f t="shared" si="7"/>
        <v/>
      </c>
      <c r="S22" s="269">
        <f>(IF(OR($B22=0,$C22=0,$D22=0),0,IF(OR($E22=0,($G22+$F22=0),$H22=0),0,MIN((VLOOKUP($E22,$A$232:$C$241,3,0))*(IF($E22=6,$P22,$O22))*((MIN((VLOOKUP($E22,$A$232:$E$241,5,0)),(IF($E22=6,$O22,$P22))))),MIN((VLOOKUP($E22,$A$232:$C$241,3,0)),($F22+$G22))*(IF($E22=6,$P22,((MIN((VLOOKUP($E22,$A$232:$E$241,5,0)),$P22)))))))))*$Q22</f>
        <v>0</v>
      </c>
      <c r="T22" s="101">
        <f t="shared" si="8"/>
        <v>0</v>
      </c>
      <c r="U22" s="122"/>
      <c r="V22" s="300"/>
      <c r="W22" s="131">
        <f t="shared" si="10"/>
        <v>0</v>
      </c>
      <c r="X22" s="62">
        <f t="shared" si="1"/>
        <v>0</v>
      </c>
      <c r="Y22" s="63" t="str">
        <f t="shared" si="2"/>
        <v/>
      </c>
      <c r="Z22" s="133">
        <f>(IF(OR($B22=0,$C22=0,$D22=0),0,IF(OR($E22=0,($G22+$F22=0),$H22=0),0,MIN((VLOOKUP($E22,$A$232:$C$241,3,0))*(IF($E22=6,$W22,$O22))*((MIN((VLOOKUP($E22,$A$232:$E$241,5,0)),(IF($E22=6,$O22,$W22))))),MIN((VLOOKUP($E22,$A$232:$C$241,3,0)),($F22+$G22))*(IF($E22=6,$W22,((MIN((VLOOKUP($E22,$A$232:$E$241,5,0)),$W22)))))))))*$X22</f>
        <v>0</v>
      </c>
      <c r="AA22" s="139">
        <f t="shared" si="3"/>
        <v>0</v>
      </c>
      <c r="AB22" s="126"/>
      <c r="AC22" s="295"/>
      <c r="AD22" s="295"/>
      <c r="AF22" s="359">
        <f t="shared" si="9"/>
        <v>0</v>
      </c>
    </row>
    <row r="23" spans="1:32" s="22" customFormat="1" ht="24.75" customHeight="1" x14ac:dyDescent="0.2">
      <c r="A23" s="177">
        <v>20</v>
      </c>
      <c r="B23" s="325"/>
      <c r="C23" s="325"/>
      <c r="D23" s="325"/>
      <c r="E23" s="326"/>
      <c r="F23" s="327"/>
      <c r="G23" s="328"/>
      <c r="H23" s="329"/>
      <c r="I23" s="329"/>
      <c r="J23" s="330"/>
      <c r="K23" s="331">
        <f>(IF(OR($B23=0,$C23=0,$D23=0),0,IF(OR($E23=0,($G23+$F23=0),$H23=0),0,MIN((VLOOKUP($E23,$A$232:$C$241,3,0))*(IF($E23=6,$I23,$H23))*((MIN((VLOOKUP($E23,$A$232:$E$241,5,0)),(IF($E23=6,$H23,$I23))))),MIN((VLOOKUP($E23,$A$232:$C$241,3,0)),($F23+$G23))*(IF($E23=6,$I23,((MIN((VLOOKUP($E23,$A$232:$E$241,5,0)),$I23)))))))))*$J23</f>
        <v>0</v>
      </c>
      <c r="L23" s="332">
        <f t="shared" si="4"/>
        <v>0</v>
      </c>
      <c r="M23" s="333">
        <f t="shared" si="5"/>
        <v>0</v>
      </c>
      <c r="N23" s="277" t="str">
        <f>IF(E23&gt;0,MIN((VLOOKUP($E23,$A$232:$C$241,3,0)),($F23+$G23)),"")</f>
        <v/>
      </c>
      <c r="O23" s="273">
        <f>IF(E23=6,(MIN(VLOOKUP($E23,$A$232:$E$241,5,0),H23)),H23)</f>
        <v>0</v>
      </c>
      <c r="P23" s="272">
        <f>IF(E23=6,I23,IF(E23&gt;0,MIN((VLOOKUP($E23,$A$232:$E$241,5,0)),(I23)),0))*(1-$T$2)</f>
        <v>0</v>
      </c>
      <c r="Q23" s="62">
        <f t="shared" si="6"/>
        <v>0</v>
      </c>
      <c r="R23" s="274" t="str">
        <f t="shared" si="7"/>
        <v/>
      </c>
      <c r="S23" s="269">
        <f>(IF(OR($B23=0,$C23=0,$D23=0),0,IF(OR($E23=0,($G23+$F23=0),$H23=0),0,MIN((VLOOKUP($E23,$A$232:$C$241,3,0))*(IF($E23=6,$P23,$O23))*((MIN((VLOOKUP($E23,$A$232:$E$241,5,0)),(IF($E23=6,$O23,$P23))))),MIN((VLOOKUP($E23,$A$232:$C$241,3,0)),($F23+$G23))*(IF($E23=6,$P23,((MIN((VLOOKUP($E23,$A$232:$E$241,5,0)),$P23)))))))))*$Q23</f>
        <v>0</v>
      </c>
      <c r="T23" s="101">
        <f t="shared" si="8"/>
        <v>0</v>
      </c>
      <c r="U23" s="122"/>
      <c r="V23" s="300"/>
      <c r="W23" s="131">
        <f t="shared" si="10"/>
        <v>0</v>
      </c>
      <c r="X23" s="62">
        <f t="shared" si="1"/>
        <v>0</v>
      </c>
      <c r="Y23" s="63" t="str">
        <f t="shared" si="2"/>
        <v/>
      </c>
      <c r="Z23" s="133">
        <f>(IF(OR($B23=0,$C23=0,$D23=0),0,IF(OR($E23=0,($G23+$F23=0),$H23=0),0,MIN((VLOOKUP($E23,$A$232:$C$241,3,0))*(IF($E23=6,$W23,$O23))*((MIN((VLOOKUP($E23,$A$232:$E$241,5,0)),(IF($E23=6,$O23,$W23))))),MIN((VLOOKUP($E23,$A$232:$C$241,3,0)),($F23+$G23))*(IF($E23=6,$W23,((MIN((VLOOKUP($E23,$A$232:$E$241,5,0)),$W23)))))))))*$X23</f>
        <v>0</v>
      </c>
      <c r="AA23" s="139">
        <f t="shared" si="3"/>
        <v>0</v>
      </c>
      <c r="AB23" s="126"/>
      <c r="AC23" s="295"/>
      <c r="AD23" s="295"/>
      <c r="AF23" s="359">
        <f t="shared" si="9"/>
        <v>0</v>
      </c>
    </row>
    <row r="24" spans="1:32" s="22" customFormat="1" ht="24.75" customHeight="1" x14ac:dyDescent="0.2">
      <c r="A24" s="177">
        <v>21</v>
      </c>
      <c r="B24" s="325"/>
      <c r="C24" s="325"/>
      <c r="D24" s="325"/>
      <c r="E24" s="326"/>
      <c r="F24" s="327"/>
      <c r="G24" s="328"/>
      <c r="H24" s="329"/>
      <c r="I24" s="329"/>
      <c r="J24" s="330"/>
      <c r="K24" s="331">
        <f>(IF(OR($B24=0,$C24=0,$D24=0),0,IF(OR($E24=0,($G24+$F24=0),$H24=0),0,MIN((VLOOKUP($E24,$A$232:$C$241,3,0))*(IF($E24=6,$I24,$H24))*((MIN((VLOOKUP($E24,$A$232:$E$241,5,0)),(IF($E24=6,$H24,$I24))))),MIN((VLOOKUP($E24,$A$232:$C$241,3,0)),($F24+$G24))*(IF($E24=6,$I24,((MIN((VLOOKUP($E24,$A$232:$E$241,5,0)),$I24)))))))))*$J24</f>
        <v>0</v>
      </c>
      <c r="L24" s="332">
        <f t="shared" si="4"/>
        <v>0</v>
      </c>
      <c r="M24" s="333">
        <f t="shared" si="5"/>
        <v>0</v>
      </c>
      <c r="N24" s="277" t="str">
        <f>IF(E24&gt;0,MIN((VLOOKUP($E24,$A$232:$C$241,3,0)),($F24+$G24)),"")</f>
        <v/>
      </c>
      <c r="O24" s="273">
        <f>IF(E24=6,(MIN(VLOOKUP($E24,$A$232:$E$241,5,0),H24)),H24)</f>
        <v>0</v>
      </c>
      <c r="P24" s="272">
        <f>IF(E24=6,I24,IF(E24&gt;0,MIN((VLOOKUP($E24,$A$232:$E$241,5,0)),(I24)),0))*(1-$T$2)</f>
        <v>0</v>
      </c>
      <c r="Q24" s="62">
        <f t="shared" si="6"/>
        <v>0</v>
      </c>
      <c r="R24" s="274" t="str">
        <f t="shared" si="7"/>
        <v/>
      </c>
      <c r="S24" s="269">
        <f>(IF(OR($B24=0,$C24=0,$D24=0),0,IF(OR($E24=0,($G24+$F24=0),$H24=0),0,MIN((VLOOKUP($E24,$A$232:$C$241,3,0))*(IF($E24=6,$P24,$O24))*((MIN((VLOOKUP($E24,$A$232:$E$241,5,0)),(IF($E24=6,$O24,$P24))))),MIN((VLOOKUP($E24,$A$232:$C$241,3,0)),($F24+$G24))*(IF($E24=6,$P24,((MIN((VLOOKUP($E24,$A$232:$E$241,5,0)),$P24)))))))))*$Q24</f>
        <v>0</v>
      </c>
      <c r="T24" s="101">
        <f t="shared" si="8"/>
        <v>0</v>
      </c>
      <c r="U24" s="122"/>
      <c r="V24" s="300"/>
      <c r="W24" s="131">
        <f t="shared" si="10"/>
        <v>0</v>
      </c>
      <c r="X24" s="62">
        <f t="shared" si="1"/>
        <v>0</v>
      </c>
      <c r="Y24" s="63" t="str">
        <f t="shared" si="2"/>
        <v/>
      </c>
      <c r="Z24" s="133">
        <f>(IF(OR($B24=0,$C24=0,$D24=0),0,IF(OR($E24=0,($G24+$F24=0),$H24=0),0,MIN((VLOOKUP($E24,$A$232:$C$241,3,0))*(IF($E24=6,$W24,$O24))*((MIN((VLOOKUP($E24,$A$232:$E$241,5,0)),(IF($E24=6,$O24,$W24))))),MIN((VLOOKUP($E24,$A$232:$C$241,3,0)),($F24+$G24))*(IF($E24=6,$W24,((MIN((VLOOKUP($E24,$A$232:$E$241,5,0)),$W24)))))))))*$X24</f>
        <v>0</v>
      </c>
      <c r="AA24" s="139">
        <f t="shared" si="3"/>
        <v>0</v>
      </c>
      <c r="AB24" s="126"/>
      <c r="AC24" s="295"/>
      <c r="AD24" s="295"/>
      <c r="AF24" s="359">
        <f t="shared" si="9"/>
        <v>0</v>
      </c>
    </row>
    <row r="25" spans="1:32" s="22" customFormat="1" ht="24.75" customHeight="1" x14ac:dyDescent="0.2">
      <c r="A25" s="177">
        <v>22</v>
      </c>
      <c r="B25" s="325"/>
      <c r="C25" s="325"/>
      <c r="D25" s="325"/>
      <c r="E25" s="326"/>
      <c r="F25" s="327"/>
      <c r="G25" s="328"/>
      <c r="H25" s="329"/>
      <c r="I25" s="329"/>
      <c r="J25" s="330"/>
      <c r="K25" s="331">
        <f>(IF(OR($B25=0,$C25=0,$D25=0),0,IF(OR($E25=0,($G25+$F25=0),$H25=0),0,MIN((VLOOKUP($E25,$A$232:$C$241,3,0))*(IF($E25=6,$I25,$H25))*((MIN((VLOOKUP($E25,$A$232:$E$241,5,0)),(IF($E25=6,$H25,$I25))))),MIN((VLOOKUP($E25,$A$232:$C$241,3,0)),($F25+$G25))*(IF($E25=6,$I25,((MIN((VLOOKUP($E25,$A$232:$E$241,5,0)),$I25)))))))))*$J25</f>
        <v>0</v>
      </c>
      <c r="L25" s="332">
        <f t="shared" si="4"/>
        <v>0</v>
      </c>
      <c r="M25" s="333">
        <f t="shared" si="5"/>
        <v>0</v>
      </c>
      <c r="N25" s="277" t="str">
        <f>IF(E25&gt;0,MIN((VLOOKUP($E25,$A$232:$C$241,3,0)),($F25+$G25)),"")</f>
        <v/>
      </c>
      <c r="O25" s="273">
        <f>IF(E25=6,(MIN(VLOOKUP($E25,$A$232:$E$241,5,0),H25)),H25)</f>
        <v>0</v>
      </c>
      <c r="P25" s="272">
        <f>IF(E25=6,I25,IF(E25&gt;0,MIN((VLOOKUP($E25,$A$232:$E$241,5,0)),(I25)),0))*(1-$T$2)</f>
        <v>0</v>
      </c>
      <c r="Q25" s="62">
        <f t="shared" si="6"/>
        <v>0</v>
      </c>
      <c r="R25" s="274" t="str">
        <f t="shared" si="7"/>
        <v/>
      </c>
      <c r="S25" s="269">
        <f>(IF(OR($B25=0,$C25=0,$D25=0),0,IF(OR($E25=0,($G25+$F25=0),$H25=0),0,MIN((VLOOKUP($E25,$A$232:$C$241,3,0))*(IF($E25=6,$P25,$O25))*((MIN((VLOOKUP($E25,$A$232:$E$241,5,0)),(IF($E25=6,$O25,$P25))))),MIN((VLOOKUP($E25,$A$232:$C$241,3,0)),($F25+$G25))*(IF($E25=6,$P25,((MIN((VLOOKUP($E25,$A$232:$E$241,5,0)),$P25)))))))))*$Q25</f>
        <v>0</v>
      </c>
      <c r="T25" s="101">
        <f t="shared" si="8"/>
        <v>0</v>
      </c>
      <c r="U25" s="122"/>
      <c r="V25" s="300"/>
      <c r="W25" s="131">
        <f t="shared" si="10"/>
        <v>0</v>
      </c>
      <c r="X25" s="62">
        <f t="shared" si="1"/>
        <v>0</v>
      </c>
      <c r="Y25" s="63" t="str">
        <f t="shared" si="2"/>
        <v/>
      </c>
      <c r="Z25" s="133">
        <f>(IF(OR($B25=0,$C25=0,$D25=0),0,IF(OR($E25=0,($G25+$F25=0),$H25=0),0,MIN((VLOOKUP($E25,$A$232:$C$241,3,0))*(IF($E25=6,$W25,$O25))*((MIN((VLOOKUP($E25,$A$232:$E$241,5,0)),(IF($E25=6,$O25,$W25))))),MIN((VLOOKUP($E25,$A$232:$C$241,3,0)),($F25+$G25))*(IF($E25=6,$W25,((MIN((VLOOKUP($E25,$A$232:$E$241,5,0)),$W25)))))))))*$X25</f>
        <v>0</v>
      </c>
      <c r="AA25" s="139">
        <f t="shared" si="3"/>
        <v>0</v>
      </c>
      <c r="AB25" s="126"/>
      <c r="AC25" s="295"/>
      <c r="AD25" s="295"/>
      <c r="AF25" s="359">
        <f t="shared" si="9"/>
        <v>0</v>
      </c>
    </row>
    <row r="26" spans="1:32" s="22" customFormat="1" ht="24.75" customHeight="1" x14ac:dyDescent="0.2">
      <c r="A26" s="177">
        <v>23</v>
      </c>
      <c r="B26" s="325"/>
      <c r="C26" s="325"/>
      <c r="D26" s="325"/>
      <c r="E26" s="326"/>
      <c r="F26" s="327"/>
      <c r="G26" s="328"/>
      <c r="H26" s="329"/>
      <c r="I26" s="329"/>
      <c r="J26" s="330"/>
      <c r="K26" s="331">
        <f>(IF(OR($B26=0,$C26=0,$D26=0),0,IF(OR($E26=0,($G26+$F26=0),$H26=0),0,MIN((VLOOKUP($E26,$A$232:$C$241,3,0))*(IF($E26=6,$I26,$H26))*((MIN((VLOOKUP($E26,$A$232:$E$241,5,0)),(IF($E26=6,$H26,$I26))))),MIN((VLOOKUP($E26,$A$232:$C$241,3,0)),($F26+$G26))*(IF($E26=6,$I26,((MIN((VLOOKUP($E26,$A$232:$E$241,5,0)),$I26)))))))))*$J26</f>
        <v>0</v>
      </c>
      <c r="L26" s="332">
        <f t="shared" si="4"/>
        <v>0</v>
      </c>
      <c r="M26" s="333">
        <f t="shared" si="5"/>
        <v>0</v>
      </c>
      <c r="N26" s="277" t="str">
        <f>IF(E26&gt;0,MIN((VLOOKUP($E26,$A$232:$C$241,3,0)),($F26+$G26)),"")</f>
        <v/>
      </c>
      <c r="O26" s="273">
        <f>IF(E26=6,(MIN(VLOOKUP($E26,$A$232:$E$241,5,0),H26)),H26)</f>
        <v>0</v>
      </c>
      <c r="P26" s="272">
        <f>IF(E26=6,I26,IF(E26&gt;0,MIN((VLOOKUP($E26,$A$232:$E$241,5,0)),(I26)),0))*(1-$T$2)</f>
        <v>0</v>
      </c>
      <c r="Q26" s="62">
        <f t="shared" si="6"/>
        <v>0</v>
      </c>
      <c r="R26" s="274" t="str">
        <f t="shared" si="7"/>
        <v/>
      </c>
      <c r="S26" s="269">
        <f>(IF(OR($B26=0,$C26=0,$D26=0),0,IF(OR($E26=0,($G26+$F26=0),$H26=0),0,MIN((VLOOKUP($E26,$A$232:$C$241,3,0))*(IF($E26=6,$P26,$O26))*((MIN((VLOOKUP($E26,$A$232:$E$241,5,0)),(IF($E26=6,$O26,$P26))))),MIN((VLOOKUP($E26,$A$232:$C$241,3,0)),($F26+$G26))*(IF($E26=6,$P26,((MIN((VLOOKUP($E26,$A$232:$E$241,5,0)),$P26)))))))))*$Q26</f>
        <v>0</v>
      </c>
      <c r="T26" s="101">
        <f t="shared" si="8"/>
        <v>0</v>
      </c>
      <c r="U26" s="122"/>
      <c r="V26" s="300"/>
      <c r="W26" s="131">
        <f t="shared" si="10"/>
        <v>0</v>
      </c>
      <c r="X26" s="62">
        <f t="shared" si="1"/>
        <v>0</v>
      </c>
      <c r="Y26" s="63" t="str">
        <f t="shared" si="2"/>
        <v/>
      </c>
      <c r="Z26" s="133">
        <f>(IF(OR($B26=0,$C26=0,$D26=0),0,IF(OR($E26=0,($G26+$F26=0),$H26=0),0,MIN((VLOOKUP($E26,$A$232:$C$241,3,0))*(IF($E26=6,$W26,$O26))*((MIN((VLOOKUP($E26,$A$232:$E$241,5,0)),(IF($E26=6,$O26,$W26))))),MIN((VLOOKUP($E26,$A$232:$C$241,3,0)),($F26+$G26))*(IF($E26=6,$W26,((MIN((VLOOKUP($E26,$A$232:$E$241,5,0)),$W26)))))))))*$X26</f>
        <v>0</v>
      </c>
      <c r="AA26" s="139">
        <f t="shared" si="3"/>
        <v>0</v>
      </c>
      <c r="AB26" s="126"/>
      <c r="AC26" s="295"/>
      <c r="AD26" s="295"/>
      <c r="AF26" s="359">
        <f t="shared" si="9"/>
        <v>0</v>
      </c>
    </row>
    <row r="27" spans="1:32" s="22" customFormat="1" ht="24.75" customHeight="1" x14ac:dyDescent="0.2">
      <c r="A27" s="177">
        <v>24</v>
      </c>
      <c r="B27" s="325"/>
      <c r="C27" s="325"/>
      <c r="D27" s="325"/>
      <c r="E27" s="326"/>
      <c r="F27" s="327"/>
      <c r="G27" s="328"/>
      <c r="H27" s="329"/>
      <c r="I27" s="329"/>
      <c r="J27" s="330"/>
      <c r="K27" s="331">
        <f>(IF(OR($B27=0,$C27=0,$D27=0),0,IF(OR($E27=0,($G27+$F27=0),$H27=0),0,MIN((VLOOKUP($E27,$A$232:$C$241,3,0))*(IF($E27=6,$I27,$H27))*((MIN((VLOOKUP($E27,$A$232:$E$241,5,0)),(IF($E27=6,$H27,$I27))))),MIN((VLOOKUP($E27,$A$232:$C$241,3,0)),($F27+$G27))*(IF($E27=6,$I27,((MIN((VLOOKUP($E27,$A$232:$E$241,5,0)),$I27)))))))))*$J27</f>
        <v>0</v>
      </c>
      <c r="L27" s="332">
        <f t="shared" si="4"/>
        <v>0</v>
      </c>
      <c r="M27" s="333">
        <f t="shared" si="5"/>
        <v>0</v>
      </c>
      <c r="N27" s="277" t="str">
        <f>IF(E27&gt;0,MIN((VLOOKUP($E27,$A$232:$C$241,3,0)),($F27+$G27)),"")</f>
        <v/>
      </c>
      <c r="O27" s="273">
        <f>IF(E27=6,(MIN(VLOOKUP($E27,$A$232:$E$241,5,0),H27)),H27)</f>
        <v>0</v>
      </c>
      <c r="P27" s="272">
        <f>IF(E27=6,I27,IF(E27&gt;0,MIN((VLOOKUP($E27,$A$232:$E$241,5,0)),(I27)),0))*(1-$T$2)</f>
        <v>0</v>
      </c>
      <c r="Q27" s="62">
        <f t="shared" si="6"/>
        <v>0</v>
      </c>
      <c r="R27" s="274" t="str">
        <f t="shared" si="7"/>
        <v/>
      </c>
      <c r="S27" s="269">
        <f>(IF(OR($B27=0,$C27=0,$D27=0),0,IF(OR($E27=0,($G27+$F27=0),$H27=0),0,MIN((VLOOKUP($E27,$A$232:$C$241,3,0))*(IF($E27=6,$P27,$O27))*((MIN((VLOOKUP($E27,$A$232:$E$241,5,0)),(IF($E27=6,$O27,$P27))))),MIN((VLOOKUP($E27,$A$232:$C$241,3,0)),($F27+$G27))*(IF($E27=6,$P27,((MIN((VLOOKUP($E27,$A$232:$E$241,5,0)),$P27)))))))))*$Q27</f>
        <v>0</v>
      </c>
      <c r="T27" s="101">
        <f t="shared" si="8"/>
        <v>0</v>
      </c>
      <c r="U27" s="122"/>
      <c r="V27" s="300"/>
      <c r="W27" s="131">
        <f t="shared" si="10"/>
        <v>0</v>
      </c>
      <c r="X27" s="62">
        <f t="shared" si="1"/>
        <v>0</v>
      </c>
      <c r="Y27" s="63" t="str">
        <f t="shared" si="2"/>
        <v/>
      </c>
      <c r="Z27" s="133">
        <f>(IF(OR($B27=0,$C27=0,$D27=0),0,IF(OR($E27=0,($G27+$F27=0),$H27=0),0,MIN((VLOOKUP($E27,$A$232:$C$241,3,0))*(IF($E27=6,$W27,$O27))*((MIN((VLOOKUP($E27,$A$232:$E$241,5,0)),(IF($E27=6,$O27,$W27))))),MIN((VLOOKUP($E27,$A$232:$C$241,3,0)),($F27+$G27))*(IF($E27=6,$W27,((MIN((VLOOKUP($E27,$A$232:$E$241,5,0)),$W27)))))))))*$X27</f>
        <v>0</v>
      </c>
      <c r="AA27" s="139">
        <f t="shared" si="3"/>
        <v>0</v>
      </c>
      <c r="AB27" s="126"/>
      <c r="AC27" s="295"/>
      <c r="AD27" s="295"/>
      <c r="AF27" s="359">
        <f t="shared" si="9"/>
        <v>0</v>
      </c>
    </row>
    <row r="28" spans="1:32" s="22" customFormat="1" ht="24.75" customHeight="1" x14ac:dyDescent="0.2">
      <c r="A28" s="177">
        <v>25</v>
      </c>
      <c r="B28" s="325"/>
      <c r="C28" s="325"/>
      <c r="D28" s="325"/>
      <c r="E28" s="326"/>
      <c r="F28" s="327"/>
      <c r="G28" s="328"/>
      <c r="H28" s="329"/>
      <c r="I28" s="329"/>
      <c r="J28" s="330"/>
      <c r="K28" s="331">
        <f>(IF(OR($B28=0,$C28=0,$D28=0),0,IF(OR($E28=0,($G28+$F28=0),$H28=0),0,MIN((VLOOKUP($E28,$A$232:$C$241,3,0))*(IF($E28=6,$I28,$H28))*((MIN((VLOOKUP($E28,$A$232:$E$241,5,0)),(IF($E28=6,$H28,$I28))))),MIN((VLOOKUP($E28,$A$232:$C$241,3,0)),($F28+$G28))*(IF($E28=6,$I28,((MIN((VLOOKUP($E28,$A$232:$E$241,5,0)),$I28)))))))))*$J28</f>
        <v>0</v>
      </c>
      <c r="L28" s="332">
        <f t="shared" si="4"/>
        <v>0</v>
      </c>
      <c r="M28" s="333">
        <f t="shared" si="5"/>
        <v>0</v>
      </c>
      <c r="N28" s="277" t="str">
        <f>IF(E28&gt;0,MIN((VLOOKUP($E28,$A$232:$C$241,3,0)),($F28+$G28)),"")</f>
        <v/>
      </c>
      <c r="O28" s="273">
        <f>IF(E28=6,(MIN(VLOOKUP($E28,$A$232:$E$241,5,0),H28)),H28)</f>
        <v>0</v>
      </c>
      <c r="P28" s="272">
        <f>IF(E28=6,I28,IF(E28&gt;0,MIN((VLOOKUP($E28,$A$232:$E$241,5,0)),(I28)),0))*(1-$T$2)</f>
        <v>0</v>
      </c>
      <c r="Q28" s="62">
        <f t="shared" si="6"/>
        <v>0</v>
      </c>
      <c r="R28" s="274" t="str">
        <f t="shared" si="7"/>
        <v/>
      </c>
      <c r="S28" s="269">
        <f>(IF(OR($B28=0,$C28=0,$D28=0),0,IF(OR($E28=0,($G28+$F28=0),$H28=0),0,MIN((VLOOKUP($E28,$A$232:$C$241,3,0))*(IF($E28=6,$P28,$O28))*((MIN((VLOOKUP($E28,$A$232:$E$241,5,0)),(IF($E28=6,$O28,$P28))))),MIN((VLOOKUP($E28,$A$232:$C$241,3,0)),($F28+$G28))*(IF($E28=6,$P28,((MIN((VLOOKUP($E28,$A$232:$E$241,5,0)),$P28)))))))))*$Q28</f>
        <v>0</v>
      </c>
      <c r="T28" s="101">
        <f t="shared" si="8"/>
        <v>0</v>
      </c>
      <c r="U28" s="122"/>
      <c r="V28" s="300"/>
      <c r="W28" s="131">
        <f t="shared" si="10"/>
        <v>0</v>
      </c>
      <c r="X28" s="62">
        <f t="shared" si="1"/>
        <v>0</v>
      </c>
      <c r="Y28" s="63" t="str">
        <f t="shared" si="2"/>
        <v/>
      </c>
      <c r="Z28" s="133">
        <f>(IF(OR($B28=0,$C28=0,$D28=0),0,IF(OR($E28=0,($G28+$F28=0),$H28=0),0,MIN((VLOOKUP($E28,$A$232:$C$241,3,0))*(IF($E28=6,$W28,$O28))*((MIN((VLOOKUP($E28,$A$232:$E$241,5,0)),(IF($E28=6,$O28,$W28))))),MIN((VLOOKUP($E28,$A$232:$C$241,3,0)),($F28+$G28))*(IF($E28=6,$W28,((MIN((VLOOKUP($E28,$A$232:$E$241,5,0)),$W28)))))))))*$X28</f>
        <v>0</v>
      </c>
      <c r="AA28" s="139">
        <f t="shared" si="3"/>
        <v>0</v>
      </c>
      <c r="AB28" s="126"/>
      <c r="AC28" s="295"/>
      <c r="AD28" s="295"/>
      <c r="AF28" s="359">
        <f t="shared" si="9"/>
        <v>0</v>
      </c>
    </row>
    <row r="29" spans="1:32" s="22" customFormat="1" ht="24.75" customHeight="1" x14ac:dyDescent="0.2">
      <c r="A29" s="177">
        <v>26</v>
      </c>
      <c r="B29" s="325"/>
      <c r="C29" s="325"/>
      <c r="D29" s="325"/>
      <c r="E29" s="326"/>
      <c r="F29" s="327"/>
      <c r="G29" s="328"/>
      <c r="H29" s="329"/>
      <c r="I29" s="329"/>
      <c r="J29" s="330"/>
      <c r="K29" s="331">
        <f>(IF(OR($B29=0,$C29=0,$D29=0),0,IF(OR($E29=0,($G29+$F29=0),$H29=0),0,MIN((VLOOKUP($E29,$A$232:$C$241,3,0))*(IF($E29=6,$I29,$H29))*((MIN((VLOOKUP($E29,$A$232:$E$241,5,0)),(IF($E29=6,$H29,$I29))))),MIN((VLOOKUP($E29,$A$232:$C$241,3,0)),($F29+$G29))*(IF($E29=6,$I29,((MIN((VLOOKUP($E29,$A$232:$E$241,5,0)),$I29)))))))))*$J29</f>
        <v>0</v>
      </c>
      <c r="L29" s="332">
        <f t="shared" si="4"/>
        <v>0</v>
      </c>
      <c r="M29" s="333">
        <f t="shared" si="5"/>
        <v>0</v>
      </c>
      <c r="N29" s="277" t="str">
        <f>IF(E29&gt;0,MIN((VLOOKUP($E29,$A$232:$C$241,3,0)),($F29+$G29)),"")</f>
        <v/>
      </c>
      <c r="O29" s="273">
        <f>IF(E29=6,(MIN(VLOOKUP($E29,$A$232:$E$241,5,0),H29)),H29)</f>
        <v>0</v>
      </c>
      <c r="P29" s="272">
        <f>IF(E29=6,I29,IF(E29&gt;0,MIN((VLOOKUP($E29,$A$232:$E$241,5,0)),(I29)),0))*(1-$T$2)</f>
        <v>0</v>
      </c>
      <c r="Q29" s="62">
        <f t="shared" si="6"/>
        <v>0</v>
      </c>
      <c r="R29" s="274" t="str">
        <f t="shared" si="7"/>
        <v/>
      </c>
      <c r="S29" s="269">
        <f>(IF(OR($B29=0,$C29=0,$D29=0),0,IF(OR($E29=0,($G29+$F29=0),$H29=0),0,MIN((VLOOKUP($E29,$A$232:$C$241,3,0))*(IF($E29=6,$P29,$O29))*((MIN((VLOOKUP($E29,$A$232:$E$241,5,0)),(IF($E29=6,$O29,$P29))))),MIN((VLOOKUP($E29,$A$232:$C$241,3,0)),($F29+$G29))*(IF($E29=6,$P29,((MIN((VLOOKUP($E29,$A$232:$E$241,5,0)),$P29)))))))))*$Q29</f>
        <v>0</v>
      </c>
      <c r="T29" s="101">
        <f t="shared" si="8"/>
        <v>0</v>
      </c>
      <c r="U29" s="122"/>
      <c r="V29" s="300"/>
      <c r="W29" s="131">
        <f t="shared" si="10"/>
        <v>0</v>
      </c>
      <c r="X29" s="62">
        <f t="shared" si="1"/>
        <v>0</v>
      </c>
      <c r="Y29" s="63" t="str">
        <f t="shared" si="2"/>
        <v/>
      </c>
      <c r="Z29" s="133">
        <f>(IF(OR($B29=0,$C29=0,$D29=0),0,IF(OR($E29=0,($G29+$F29=0),$H29=0),0,MIN((VLOOKUP($E29,$A$232:$C$241,3,0))*(IF($E29=6,$W29,$O29))*((MIN((VLOOKUP($E29,$A$232:$E$241,5,0)),(IF($E29=6,$O29,$W29))))),MIN((VLOOKUP($E29,$A$232:$C$241,3,0)),($F29+$G29))*(IF($E29=6,$W29,((MIN((VLOOKUP($E29,$A$232:$E$241,5,0)),$W29)))))))))*$X29</f>
        <v>0</v>
      </c>
      <c r="AA29" s="139">
        <f t="shared" si="3"/>
        <v>0</v>
      </c>
      <c r="AB29" s="126"/>
      <c r="AC29" s="295"/>
      <c r="AD29" s="295"/>
      <c r="AF29" s="359">
        <f t="shared" si="9"/>
        <v>0</v>
      </c>
    </row>
    <row r="30" spans="1:32" s="22" customFormat="1" ht="24.75" customHeight="1" x14ac:dyDescent="0.2">
      <c r="A30" s="177">
        <v>27</v>
      </c>
      <c r="B30" s="325"/>
      <c r="C30" s="325"/>
      <c r="D30" s="325"/>
      <c r="E30" s="326"/>
      <c r="F30" s="327"/>
      <c r="G30" s="328"/>
      <c r="H30" s="329"/>
      <c r="I30" s="329"/>
      <c r="J30" s="330"/>
      <c r="K30" s="331">
        <f>(IF(OR($B30=0,$C30=0,$D30=0),0,IF(OR($E30=0,($G30+$F30=0),$H30=0),0,MIN((VLOOKUP($E30,$A$232:$C$241,3,0))*(IF($E30=6,$I30,$H30))*((MIN((VLOOKUP($E30,$A$232:$E$241,5,0)),(IF($E30=6,$H30,$I30))))),MIN((VLOOKUP($E30,$A$232:$C$241,3,0)),($F30+$G30))*(IF($E30=6,$I30,((MIN((VLOOKUP($E30,$A$232:$E$241,5,0)),$I30)))))))))*$J30</f>
        <v>0</v>
      </c>
      <c r="L30" s="332">
        <f t="shared" si="4"/>
        <v>0</v>
      </c>
      <c r="M30" s="333">
        <f t="shared" si="5"/>
        <v>0</v>
      </c>
      <c r="N30" s="277" t="str">
        <f>IF(E30&gt;0,MIN((VLOOKUP($E30,$A$232:$C$241,3,0)),($F30+$G30)),"")</f>
        <v/>
      </c>
      <c r="O30" s="273">
        <f>IF(E30=6,(MIN(VLOOKUP($E30,$A$232:$E$241,5,0),H30)),H30)</f>
        <v>0</v>
      </c>
      <c r="P30" s="272">
        <f>IF(E30=6,I30,IF(E30&gt;0,MIN((VLOOKUP($E30,$A$232:$E$241,5,0)),(I30)),0))*(1-$T$2)</f>
        <v>0</v>
      </c>
      <c r="Q30" s="62">
        <f t="shared" si="6"/>
        <v>0</v>
      </c>
      <c r="R30" s="274" t="str">
        <f t="shared" si="7"/>
        <v/>
      </c>
      <c r="S30" s="269">
        <f>(IF(OR($B30=0,$C30=0,$D30=0),0,IF(OR($E30=0,($G30+$F30=0),$H30=0),0,MIN((VLOOKUP($E30,$A$232:$C$241,3,0))*(IF($E30=6,$P30,$O30))*((MIN((VLOOKUP($E30,$A$232:$E$241,5,0)),(IF($E30=6,$O30,$P30))))),MIN((VLOOKUP($E30,$A$232:$C$241,3,0)),($F30+$G30))*(IF($E30=6,$P30,((MIN((VLOOKUP($E30,$A$232:$E$241,5,0)),$P30)))))))))*$Q30</f>
        <v>0</v>
      </c>
      <c r="T30" s="101">
        <f t="shared" si="8"/>
        <v>0</v>
      </c>
      <c r="U30" s="122"/>
      <c r="V30" s="300"/>
      <c r="W30" s="131">
        <f t="shared" si="10"/>
        <v>0</v>
      </c>
      <c r="X30" s="62">
        <f t="shared" si="1"/>
        <v>0</v>
      </c>
      <c r="Y30" s="63" t="str">
        <f t="shared" si="2"/>
        <v/>
      </c>
      <c r="Z30" s="133">
        <f>(IF(OR($B30=0,$C30=0,$D30=0),0,IF(OR($E30=0,($G30+$F30=0),$H30=0),0,MIN((VLOOKUP($E30,$A$232:$C$241,3,0))*(IF($E30=6,$W30,$O30))*((MIN((VLOOKUP($E30,$A$232:$E$241,5,0)),(IF($E30=6,$O30,$W30))))),MIN((VLOOKUP($E30,$A$232:$C$241,3,0)),($F30+$G30))*(IF($E30=6,$W30,((MIN((VLOOKUP($E30,$A$232:$E$241,5,0)),$W30)))))))))*$X30</f>
        <v>0</v>
      </c>
      <c r="AA30" s="139">
        <f t="shared" si="3"/>
        <v>0</v>
      </c>
      <c r="AB30" s="126"/>
      <c r="AC30" s="295"/>
      <c r="AD30" s="295"/>
      <c r="AF30" s="359">
        <f t="shared" si="9"/>
        <v>0</v>
      </c>
    </row>
    <row r="31" spans="1:32" s="22" customFormat="1" ht="24.75" customHeight="1" x14ac:dyDescent="0.2">
      <c r="A31" s="177">
        <v>28</v>
      </c>
      <c r="B31" s="325"/>
      <c r="C31" s="325"/>
      <c r="D31" s="325"/>
      <c r="E31" s="326"/>
      <c r="F31" s="327"/>
      <c r="G31" s="328"/>
      <c r="H31" s="329"/>
      <c r="I31" s="329"/>
      <c r="J31" s="330"/>
      <c r="K31" s="331">
        <f>(IF(OR($B31=0,$C31=0,$D31=0),0,IF(OR($E31=0,($G31+$F31=0),$H31=0),0,MIN((VLOOKUP($E31,$A$232:$C$241,3,0))*(IF($E31=6,$I31,$H31))*((MIN((VLOOKUP($E31,$A$232:$E$241,5,0)),(IF($E31=6,$H31,$I31))))),MIN((VLOOKUP($E31,$A$232:$C$241,3,0)),($F31+$G31))*(IF($E31=6,$I31,((MIN((VLOOKUP($E31,$A$232:$E$241,5,0)),$I31)))))))))*$J31</f>
        <v>0</v>
      </c>
      <c r="L31" s="332">
        <f t="shared" si="4"/>
        <v>0</v>
      </c>
      <c r="M31" s="333">
        <f t="shared" si="5"/>
        <v>0</v>
      </c>
      <c r="N31" s="277" t="str">
        <f>IF(E31&gt;0,MIN((VLOOKUP($E31,$A$232:$C$241,3,0)),($F31+$G31)),"")</f>
        <v/>
      </c>
      <c r="O31" s="273">
        <f>IF(E31=6,(MIN(VLOOKUP($E31,$A$232:$E$241,5,0),H31)),H31)</f>
        <v>0</v>
      </c>
      <c r="P31" s="272">
        <f>IF(E31=6,I31,IF(E31&gt;0,MIN((VLOOKUP($E31,$A$232:$E$241,5,0)),(I31)),0))*(1-$T$2)</f>
        <v>0</v>
      </c>
      <c r="Q31" s="62">
        <f t="shared" si="6"/>
        <v>0</v>
      </c>
      <c r="R31" s="274" t="str">
        <f t="shared" si="7"/>
        <v/>
      </c>
      <c r="S31" s="269">
        <f>(IF(OR($B31=0,$C31=0,$D31=0),0,IF(OR($E31=0,($G31+$F31=0),$H31=0),0,MIN((VLOOKUP($E31,$A$232:$C$241,3,0))*(IF($E31=6,$P31,$O31))*((MIN((VLOOKUP($E31,$A$232:$E$241,5,0)),(IF($E31=6,$O31,$P31))))),MIN((VLOOKUP($E31,$A$232:$C$241,3,0)),($F31+$G31))*(IF($E31=6,$P31,((MIN((VLOOKUP($E31,$A$232:$E$241,5,0)),$P31)))))))))*$Q31</f>
        <v>0</v>
      </c>
      <c r="T31" s="101">
        <f t="shared" si="8"/>
        <v>0</v>
      </c>
      <c r="U31" s="122"/>
      <c r="V31" s="300"/>
      <c r="W31" s="131">
        <f t="shared" si="10"/>
        <v>0</v>
      </c>
      <c r="X31" s="62">
        <f t="shared" si="1"/>
        <v>0</v>
      </c>
      <c r="Y31" s="63" t="str">
        <f t="shared" si="2"/>
        <v/>
      </c>
      <c r="Z31" s="133">
        <f>(IF(OR($B31=0,$C31=0,$D31=0),0,IF(OR($E31=0,($G31+$F31=0),$H31=0),0,MIN((VLOOKUP($E31,$A$232:$C$241,3,0))*(IF($E31=6,$W31,$O31))*((MIN((VLOOKUP($E31,$A$232:$E$241,5,0)),(IF($E31=6,$O31,$W31))))),MIN((VLOOKUP($E31,$A$232:$C$241,3,0)),($F31+$G31))*(IF($E31=6,$W31,((MIN((VLOOKUP($E31,$A$232:$E$241,5,0)),$W31)))))))))*$X31</f>
        <v>0</v>
      </c>
      <c r="AA31" s="139">
        <f t="shared" si="3"/>
        <v>0</v>
      </c>
      <c r="AB31" s="126"/>
      <c r="AC31" s="295"/>
      <c r="AD31" s="295"/>
      <c r="AF31" s="359">
        <f t="shared" si="9"/>
        <v>0</v>
      </c>
    </row>
    <row r="32" spans="1:32" s="22" customFormat="1" ht="24.75" customHeight="1" x14ac:dyDescent="0.2">
      <c r="A32" s="177">
        <v>29</v>
      </c>
      <c r="B32" s="325"/>
      <c r="C32" s="325"/>
      <c r="D32" s="325"/>
      <c r="E32" s="326"/>
      <c r="F32" s="327"/>
      <c r="G32" s="328"/>
      <c r="H32" s="329"/>
      <c r="I32" s="329"/>
      <c r="J32" s="330"/>
      <c r="K32" s="331">
        <f>(IF(OR($B32=0,$C32=0,$D32=0),0,IF(OR($E32=0,($G32+$F32=0),$H32=0),0,MIN((VLOOKUP($E32,$A$232:$C$241,3,0))*(IF($E32=6,$I32,$H32))*((MIN((VLOOKUP($E32,$A$232:$E$241,5,0)),(IF($E32=6,$H32,$I32))))),MIN((VLOOKUP($E32,$A$232:$C$241,3,0)),($F32+$G32))*(IF($E32=6,$I32,((MIN((VLOOKUP($E32,$A$232:$E$241,5,0)),$I32)))))))))*$J32</f>
        <v>0</v>
      </c>
      <c r="L32" s="332">
        <f t="shared" si="4"/>
        <v>0</v>
      </c>
      <c r="M32" s="333">
        <f t="shared" si="5"/>
        <v>0</v>
      </c>
      <c r="N32" s="277" t="str">
        <f>IF(E32&gt;0,MIN((VLOOKUP($E32,$A$232:$C$241,3,0)),($F32+$G32)),"")</f>
        <v/>
      </c>
      <c r="O32" s="273">
        <f>IF(E32=6,(MIN(VLOOKUP($E32,$A$232:$E$241,5,0),H32)),H32)</f>
        <v>0</v>
      </c>
      <c r="P32" s="272">
        <f>IF(E32=6,I32,IF(E32&gt;0,MIN((VLOOKUP($E32,$A$232:$E$241,5,0)),(I32)),0))*(1-$T$2)</f>
        <v>0</v>
      </c>
      <c r="Q32" s="62">
        <f t="shared" si="6"/>
        <v>0</v>
      </c>
      <c r="R32" s="274" t="str">
        <f t="shared" si="7"/>
        <v/>
      </c>
      <c r="S32" s="269">
        <f>(IF(OR($B32=0,$C32=0,$D32=0),0,IF(OR($E32=0,($G32+$F32=0),$H32=0),0,MIN((VLOOKUP($E32,$A$232:$C$241,3,0))*(IF($E32=6,$P32,$O32))*((MIN((VLOOKUP($E32,$A$232:$E$241,5,0)),(IF($E32=6,$O32,$P32))))),MIN((VLOOKUP($E32,$A$232:$C$241,3,0)),($F32+$G32))*(IF($E32=6,$P32,((MIN((VLOOKUP($E32,$A$232:$E$241,5,0)),$P32)))))))))*$Q32</f>
        <v>0</v>
      </c>
      <c r="T32" s="101">
        <f t="shared" si="8"/>
        <v>0</v>
      </c>
      <c r="U32" s="122"/>
      <c r="V32" s="300"/>
      <c r="W32" s="131">
        <f t="shared" si="10"/>
        <v>0</v>
      </c>
      <c r="X32" s="62">
        <f t="shared" si="1"/>
        <v>0</v>
      </c>
      <c r="Y32" s="63" t="str">
        <f t="shared" si="2"/>
        <v/>
      </c>
      <c r="Z32" s="133">
        <f>(IF(OR($B32=0,$C32=0,$D32=0),0,IF(OR($E32=0,($G32+$F32=0),$H32=0),0,MIN((VLOOKUP($E32,$A$232:$C$241,3,0))*(IF($E32=6,$W32,$O32))*((MIN((VLOOKUP($E32,$A$232:$E$241,5,0)),(IF($E32=6,$O32,$W32))))),MIN((VLOOKUP($E32,$A$232:$C$241,3,0)),($F32+$G32))*(IF($E32=6,$W32,((MIN((VLOOKUP($E32,$A$232:$E$241,5,0)),$W32)))))))))*$X32</f>
        <v>0</v>
      </c>
      <c r="AA32" s="139">
        <f t="shared" si="3"/>
        <v>0</v>
      </c>
      <c r="AB32" s="126"/>
      <c r="AC32" s="295"/>
      <c r="AD32" s="295"/>
      <c r="AF32" s="359">
        <f t="shared" si="9"/>
        <v>0</v>
      </c>
    </row>
    <row r="33" spans="1:32" s="22" customFormat="1" ht="24.75" customHeight="1" x14ac:dyDescent="0.2">
      <c r="A33" s="177">
        <v>30</v>
      </c>
      <c r="B33" s="325"/>
      <c r="C33" s="325"/>
      <c r="D33" s="325"/>
      <c r="E33" s="326"/>
      <c r="F33" s="327"/>
      <c r="G33" s="328"/>
      <c r="H33" s="329"/>
      <c r="I33" s="329"/>
      <c r="J33" s="330"/>
      <c r="K33" s="331">
        <f>(IF(OR($B33=0,$C33=0,$D33=0),0,IF(OR($E33=0,($G33+$F33=0),$H33=0),0,MIN((VLOOKUP($E33,$A$232:$C$241,3,0))*(IF($E33=6,$I33,$H33))*((MIN((VLOOKUP($E33,$A$232:$E$241,5,0)),(IF($E33=6,$H33,$I33))))),MIN((VLOOKUP($E33,$A$232:$C$241,3,0)),($F33+$G33))*(IF($E33=6,$I33,((MIN((VLOOKUP($E33,$A$232:$E$241,5,0)),$I33)))))))))*$J33</f>
        <v>0</v>
      </c>
      <c r="L33" s="332">
        <f t="shared" si="4"/>
        <v>0</v>
      </c>
      <c r="M33" s="333">
        <f t="shared" si="5"/>
        <v>0</v>
      </c>
      <c r="N33" s="277" t="str">
        <f>IF(E33&gt;0,MIN((VLOOKUP($E33,$A$232:$C$241,3,0)),($F33+$G33)),"")</f>
        <v/>
      </c>
      <c r="O33" s="273">
        <f>IF(E33=6,(MIN(VLOOKUP($E33,$A$232:$E$241,5,0),H33)),H33)</f>
        <v>0</v>
      </c>
      <c r="P33" s="272">
        <f>IF(E33=6,I33,IF(E33&gt;0,MIN((VLOOKUP($E33,$A$232:$E$241,5,0)),(I33)),0))*(1-$T$2)</f>
        <v>0</v>
      </c>
      <c r="Q33" s="62">
        <f t="shared" si="6"/>
        <v>0</v>
      </c>
      <c r="R33" s="274" t="str">
        <f t="shared" si="7"/>
        <v/>
      </c>
      <c r="S33" s="269">
        <f>(IF(OR($B33=0,$C33=0,$D33=0),0,IF(OR($E33=0,($G33+$F33=0),$H33=0),0,MIN((VLOOKUP($E33,$A$232:$C$241,3,0))*(IF($E33=6,$P33,$O33))*((MIN((VLOOKUP($E33,$A$232:$E$241,5,0)),(IF($E33=6,$O33,$P33))))),MIN((VLOOKUP($E33,$A$232:$C$241,3,0)),($F33+$G33))*(IF($E33=6,$P33,((MIN((VLOOKUP($E33,$A$232:$E$241,5,0)),$P33)))))))))*$Q33</f>
        <v>0</v>
      </c>
      <c r="T33" s="101">
        <f t="shared" si="8"/>
        <v>0</v>
      </c>
      <c r="U33" s="122"/>
      <c r="V33" s="300"/>
      <c r="W33" s="131">
        <f t="shared" si="10"/>
        <v>0</v>
      </c>
      <c r="X33" s="62">
        <f t="shared" si="1"/>
        <v>0</v>
      </c>
      <c r="Y33" s="63" t="str">
        <f t="shared" si="2"/>
        <v/>
      </c>
      <c r="Z33" s="133">
        <f>(IF(OR($B33=0,$C33=0,$D33=0),0,IF(OR($E33=0,($G33+$F33=0),$H33=0),0,MIN((VLOOKUP($E33,$A$232:$C$241,3,0))*(IF($E33=6,$W33,$O33))*((MIN((VLOOKUP($E33,$A$232:$E$241,5,0)),(IF($E33=6,$O33,$W33))))),MIN((VLOOKUP($E33,$A$232:$C$241,3,0)),($F33+$G33))*(IF($E33=6,$W33,((MIN((VLOOKUP($E33,$A$232:$E$241,5,0)),$W33)))))))))*$X33</f>
        <v>0</v>
      </c>
      <c r="AA33" s="139">
        <f t="shared" si="3"/>
        <v>0</v>
      </c>
      <c r="AB33" s="126"/>
      <c r="AC33" s="295"/>
      <c r="AD33" s="295"/>
      <c r="AF33" s="359">
        <f t="shared" si="9"/>
        <v>0</v>
      </c>
    </row>
    <row r="34" spans="1:32" s="22" customFormat="1" ht="24.75" customHeight="1" x14ac:dyDescent="0.2">
      <c r="A34" s="177">
        <v>31</v>
      </c>
      <c r="B34" s="325"/>
      <c r="C34" s="325"/>
      <c r="D34" s="325"/>
      <c r="E34" s="326"/>
      <c r="F34" s="327"/>
      <c r="G34" s="328"/>
      <c r="H34" s="329"/>
      <c r="I34" s="329"/>
      <c r="J34" s="330"/>
      <c r="K34" s="331">
        <f>(IF(OR($B34=0,$C34=0,$D34=0),0,IF(OR($E34=0,($G34+$F34=0),$H34=0),0,MIN((VLOOKUP($E34,$A$232:$C$241,3,0))*(IF($E34=6,$I34,$H34))*((MIN((VLOOKUP($E34,$A$232:$E$241,5,0)),(IF($E34=6,$H34,$I34))))),MIN((VLOOKUP($E34,$A$232:$C$241,3,0)),($F34+$G34))*(IF($E34=6,$I34,((MIN((VLOOKUP($E34,$A$232:$E$241,5,0)),$I34)))))))))*$J34</f>
        <v>0</v>
      </c>
      <c r="L34" s="332">
        <f t="shared" si="4"/>
        <v>0</v>
      </c>
      <c r="M34" s="333">
        <f t="shared" si="5"/>
        <v>0</v>
      </c>
      <c r="N34" s="277" t="str">
        <f>IF(E34&gt;0,MIN((VLOOKUP($E34,$A$232:$C$241,3,0)),($F34+$G34)),"")</f>
        <v/>
      </c>
      <c r="O34" s="273">
        <f>IF(E34=6,(MIN(VLOOKUP($E34,$A$232:$E$241,5,0),H34)),H34)</f>
        <v>0</v>
      </c>
      <c r="P34" s="272">
        <f>IF(E34=6,I34,IF(E34&gt;0,MIN((VLOOKUP($E34,$A$232:$E$241,5,0)),(I34)),0))*(1-$T$2)</f>
        <v>0</v>
      </c>
      <c r="Q34" s="62">
        <f t="shared" si="6"/>
        <v>0</v>
      </c>
      <c r="R34" s="274" t="str">
        <f t="shared" si="7"/>
        <v/>
      </c>
      <c r="S34" s="269">
        <f>(IF(OR($B34=0,$C34=0,$D34=0),0,IF(OR($E34=0,($G34+$F34=0),$H34=0),0,MIN((VLOOKUP($E34,$A$232:$C$241,3,0))*(IF($E34=6,$P34,$O34))*((MIN((VLOOKUP($E34,$A$232:$E$241,5,0)),(IF($E34=6,$O34,$P34))))),MIN((VLOOKUP($E34,$A$232:$C$241,3,0)),($F34+$G34))*(IF($E34=6,$P34,((MIN((VLOOKUP($E34,$A$232:$E$241,5,0)),$P34)))))))))*$Q34</f>
        <v>0</v>
      </c>
      <c r="T34" s="101">
        <f t="shared" si="8"/>
        <v>0</v>
      </c>
      <c r="U34" s="122"/>
      <c r="V34" s="300"/>
      <c r="W34" s="131">
        <f t="shared" si="10"/>
        <v>0</v>
      </c>
      <c r="X34" s="62">
        <f t="shared" si="1"/>
        <v>0</v>
      </c>
      <c r="Y34" s="63" t="str">
        <f t="shared" si="2"/>
        <v/>
      </c>
      <c r="Z34" s="133">
        <f>(IF(OR($B34=0,$C34=0,$D34=0),0,IF(OR($E34=0,($G34+$F34=0),$H34=0),0,MIN((VLOOKUP($E34,$A$232:$C$241,3,0))*(IF($E34=6,$W34,$O34))*((MIN((VLOOKUP($E34,$A$232:$E$241,5,0)),(IF($E34=6,$O34,$W34))))),MIN((VLOOKUP($E34,$A$232:$C$241,3,0)),($F34+$G34))*(IF($E34=6,$W34,((MIN((VLOOKUP($E34,$A$232:$E$241,5,0)),$W34)))))))))*$X34</f>
        <v>0</v>
      </c>
      <c r="AA34" s="139">
        <f t="shared" si="3"/>
        <v>0</v>
      </c>
      <c r="AB34" s="126"/>
      <c r="AC34" s="295"/>
      <c r="AD34" s="295"/>
      <c r="AF34" s="359">
        <f t="shared" si="9"/>
        <v>0</v>
      </c>
    </row>
    <row r="35" spans="1:32" s="22" customFormat="1" ht="24.75" customHeight="1" x14ac:dyDescent="0.2">
      <c r="A35" s="177">
        <v>32</v>
      </c>
      <c r="B35" s="325"/>
      <c r="C35" s="325"/>
      <c r="D35" s="325"/>
      <c r="E35" s="326"/>
      <c r="F35" s="327"/>
      <c r="G35" s="328"/>
      <c r="H35" s="329"/>
      <c r="I35" s="329"/>
      <c r="J35" s="330"/>
      <c r="K35" s="331">
        <f>(IF(OR($B35=0,$C35=0,$D35=0),0,IF(OR($E35=0,($G35+$F35=0),$H35=0),0,MIN((VLOOKUP($E35,$A$232:$C$241,3,0))*(IF($E35=6,$I35,$H35))*((MIN((VLOOKUP($E35,$A$232:$E$241,5,0)),(IF($E35=6,$H35,$I35))))),MIN((VLOOKUP($E35,$A$232:$C$241,3,0)),($F35+$G35))*(IF($E35=6,$I35,((MIN((VLOOKUP($E35,$A$232:$E$241,5,0)),$I35)))))))))*$J35</f>
        <v>0</v>
      </c>
      <c r="L35" s="332">
        <f t="shared" si="4"/>
        <v>0</v>
      </c>
      <c r="M35" s="333">
        <f t="shared" si="5"/>
        <v>0</v>
      </c>
      <c r="N35" s="277" t="str">
        <f>IF(E35&gt;0,MIN((VLOOKUP($E35,$A$232:$C$241,3,0)),($F35+$G35)),"")</f>
        <v/>
      </c>
      <c r="O35" s="273">
        <f>IF(E35=6,(MIN(VLOOKUP($E35,$A$232:$E$241,5,0),H35)),H35)</f>
        <v>0</v>
      </c>
      <c r="P35" s="272">
        <f>IF(E35=6,I35,IF(E35&gt;0,MIN((VLOOKUP($E35,$A$232:$E$241,5,0)),(I35)),0))*(1-$T$2)</f>
        <v>0</v>
      </c>
      <c r="Q35" s="62">
        <f t="shared" si="6"/>
        <v>0</v>
      </c>
      <c r="R35" s="274" t="str">
        <f t="shared" si="7"/>
        <v/>
      </c>
      <c r="S35" s="269">
        <f>(IF(OR($B35=0,$C35=0,$D35=0),0,IF(OR($E35=0,($G35+$F35=0),$H35=0),0,MIN((VLOOKUP($E35,$A$232:$C$241,3,0))*(IF($E35=6,$P35,$O35))*((MIN((VLOOKUP($E35,$A$232:$E$241,5,0)),(IF($E35=6,$O35,$P35))))),MIN((VLOOKUP($E35,$A$232:$C$241,3,0)),($F35+$G35))*(IF($E35=6,$P35,((MIN((VLOOKUP($E35,$A$232:$E$241,5,0)),$P35)))))))))*$Q35</f>
        <v>0</v>
      </c>
      <c r="T35" s="101">
        <f t="shared" si="8"/>
        <v>0</v>
      </c>
      <c r="U35" s="122"/>
      <c r="V35" s="300"/>
      <c r="W35" s="131">
        <f t="shared" si="10"/>
        <v>0</v>
      </c>
      <c r="X35" s="62">
        <f t="shared" si="1"/>
        <v>0</v>
      </c>
      <c r="Y35" s="63" t="str">
        <f t="shared" si="2"/>
        <v/>
      </c>
      <c r="Z35" s="133">
        <f>(IF(OR($B35=0,$C35=0,$D35=0),0,IF(OR($E35=0,($G35+$F35=0),$H35=0),0,MIN((VLOOKUP($E35,$A$232:$C$241,3,0))*(IF($E35=6,$W35,$O35))*((MIN((VLOOKUP($E35,$A$232:$E$241,5,0)),(IF($E35=6,$O35,$W35))))),MIN((VLOOKUP($E35,$A$232:$C$241,3,0)),($F35+$G35))*(IF($E35=6,$W35,((MIN((VLOOKUP($E35,$A$232:$E$241,5,0)),$W35)))))))))*$X35</f>
        <v>0</v>
      </c>
      <c r="AA35" s="139">
        <f t="shared" si="3"/>
        <v>0</v>
      </c>
      <c r="AB35" s="126"/>
      <c r="AC35" s="295"/>
      <c r="AD35" s="295"/>
      <c r="AF35" s="359">
        <f t="shared" si="9"/>
        <v>0</v>
      </c>
    </row>
    <row r="36" spans="1:32" s="22" customFormat="1" ht="24.75" customHeight="1" x14ac:dyDescent="0.2">
      <c r="A36" s="177">
        <v>33</v>
      </c>
      <c r="B36" s="325"/>
      <c r="C36" s="325"/>
      <c r="D36" s="325"/>
      <c r="E36" s="326"/>
      <c r="F36" s="327"/>
      <c r="G36" s="328"/>
      <c r="H36" s="329"/>
      <c r="I36" s="329"/>
      <c r="J36" s="330"/>
      <c r="K36" s="331">
        <f>(IF(OR($B36=0,$C36=0,$D36=0),0,IF(OR($E36=0,($G36+$F36=0),$H36=0),0,MIN((VLOOKUP($E36,$A$232:$C$241,3,0))*(IF($E36=6,$I36,$H36))*((MIN((VLOOKUP($E36,$A$232:$E$241,5,0)),(IF($E36=6,$H36,$I36))))),MIN((VLOOKUP($E36,$A$232:$C$241,3,0)),($F36+$G36))*(IF($E36=6,$I36,((MIN((VLOOKUP($E36,$A$232:$E$241,5,0)),$I36)))))))))*$J36</f>
        <v>0</v>
      </c>
      <c r="L36" s="332">
        <f t="shared" si="4"/>
        <v>0</v>
      </c>
      <c r="M36" s="333">
        <f t="shared" si="5"/>
        <v>0</v>
      </c>
      <c r="N36" s="277" t="str">
        <f>IF(E36&gt;0,MIN((VLOOKUP($E36,$A$232:$C$241,3,0)),($F36+$G36)),"")</f>
        <v/>
      </c>
      <c r="O36" s="273">
        <f>IF(E36=6,(MIN(VLOOKUP($E36,$A$232:$E$241,5,0),H36)),H36)</f>
        <v>0</v>
      </c>
      <c r="P36" s="272">
        <f>IF(E36=6,I36,IF(E36&gt;0,MIN((VLOOKUP($E36,$A$232:$E$241,5,0)),(I36)),0))*(1-$T$2)</f>
        <v>0</v>
      </c>
      <c r="Q36" s="62">
        <f t="shared" si="6"/>
        <v>0</v>
      </c>
      <c r="R36" s="274" t="str">
        <f t="shared" si="7"/>
        <v/>
      </c>
      <c r="S36" s="269">
        <f>(IF(OR($B36=0,$C36=0,$D36=0),0,IF(OR($E36=0,($G36+$F36=0),$H36=0),0,MIN((VLOOKUP($E36,$A$232:$C$241,3,0))*(IF($E36=6,$P36,$O36))*((MIN((VLOOKUP($E36,$A$232:$E$241,5,0)),(IF($E36=6,$O36,$P36))))),MIN((VLOOKUP($E36,$A$232:$C$241,3,0)),($F36+$G36))*(IF($E36=6,$P36,((MIN((VLOOKUP($E36,$A$232:$E$241,5,0)),$P36)))))))))*$Q36</f>
        <v>0</v>
      </c>
      <c r="T36" s="101">
        <f t="shared" si="8"/>
        <v>0</v>
      </c>
      <c r="U36" s="122"/>
      <c r="V36" s="300"/>
      <c r="W36" s="131">
        <f t="shared" si="10"/>
        <v>0</v>
      </c>
      <c r="X36" s="62">
        <f t="shared" si="1"/>
        <v>0</v>
      </c>
      <c r="Y36" s="63" t="str">
        <f t="shared" si="2"/>
        <v/>
      </c>
      <c r="Z36" s="133">
        <f>(IF(OR($B36=0,$C36=0,$D36=0),0,IF(OR($E36=0,($G36+$F36=0),$H36=0),0,MIN((VLOOKUP($E36,$A$232:$C$241,3,0))*(IF($E36=6,$W36,$O36))*((MIN((VLOOKUP($E36,$A$232:$E$241,5,0)),(IF($E36=6,$O36,$W36))))),MIN((VLOOKUP($E36,$A$232:$C$241,3,0)),($F36+$G36))*(IF($E36=6,$W36,((MIN((VLOOKUP($E36,$A$232:$E$241,5,0)),$W36)))))))))*$X36</f>
        <v>0</v>
      </c>
      <c r="AA36" s="139">
        <f t="shared" si="3"/>
        <v>0</v>
      </c>
      <c r="AB36" s="126"/>
      <c r="AC36" s="295"/>
      <c r="AD36" s="295"/>
      <c r="AF36" s="359">
        <f t="shared" si="9"/>
        <v>0</v>
      </c>
    </row>
    <row r="37" spans="1:32" s="22" customFormat="1" ht="24.75" customHeight="1" x14ac:dyDescent="0.2">
      <c r="A37" s="177">
        <v>34</v>
      </c>
      <c r="B37" s="325"/>
      <c r="C37" s="325"/>
      <c r="D37" s="325"/>
      <c r="E37" s="326"/>
      <c r="F37" s="327"/>
      <c r="G37" s="328"/>
      <c r="H37" s="329"/>
      <c r="I37" s="329"/>
      <c r="J37" s="330"/>
      <c r="K37" s="331">
        <f>(IF(OR($B37=0,$C37=0,$D37=0),0,IF(OR($E37=0,($G37+$F37=0),$H37=0),0,MIN((VLOOKUP($E37,$A$232:$C$241,3,0))*(IF($E37=6,$I37,$H37))*((MIN((VLOOKUP($E37,$A$232:$E$241,5,0)),(IF($E37=6,$H37,$I37))))),MIN((VLOOKUP($E37,$A$232:$C$241,3,0)),($F37+$G37))*(IF($E37=6,$I37,((MIN((VLOOKUP($E37,$A$232:$E$241,5,0)),$I37)))))))))*$J37</f>
        <v>0</v>
      </c>
      <c r="L37" s="332">
        <f t="shared" si="4"/>
        <v>0</v>
      </c>
      <c r="M37" s="333">
        <f t="shared" si="5"/>
        <v>0</v>
      </c>
      <c r="N37" s="277" t="str">
        <f>IF(E37&gt;0,MIN((VLOOKUP($E37,$A$232:$C$241,3,0)),($F37+$G37)),"")</f>
        <v/>
      </c>
      <c r="O37" s="273">
        <f>IF(E37=6,(MIN(VLOOKUP($E37,$A$232:$E$241,5,0),H37)),H37)</f>
        <v>0</v>
      </c>
      <c r="P37" s="272">
        <f>IF(E37=6,I37,IF(E37&gt;0,MIN((VLOOKUP($E37,$A$232:$E$241,5,0)),(I37)),0))*(1-$T$2)</f>
        <v>0</v>
      </c>
      <c r="Q37" s="62">
        <f t="shared" si="6"/>
        <v>0</v>
      </c>
      <c r="R37" s="274" t="str">
        <f t="shared" si="7"/>
        <v/>
      </c>
      <c r="S37" s="269">
        <f>(IF(OR($B37=0,$C37=0,$D37=0),0,IF(OR($E37=0,($G37+$F37=0),$H37=0),0,MIN((VLOOKUP($E37,$A$232:$C$241,3,0))*(IF($E37=6,$P37,$O37))*((MIN((VLOOKUP($E37,$A$232:$E$241,5,0)),(IF($E37=6,$O37,$P37))))),MIN((VLOOKUP($E37,$A$232:$C$241,3,0)),($F37+$G37))*(IF($E37=6,$P37,((MIN((VLOOKUP($E37,$A$232:$E$241,5,0)),$P37)))))))))*$Q37</f>
        <v>0</v>
      </c>
      <c r="T37" s="101">
        <f t="shared" si="8"/>
        <v>0</v>
      </c>
      <c r="U37" s="122"/>
      <c r="V37" s="300"/>
      <c r="W37" s="131">
        <f t="shared" si="10"/>
        <v>0</v>
      </c>
      <c r="X37" s="62">
        <f t="shared" si="1"/>
        <v>0</v>
      </c>
      <c r="Y37" s="63" t="str">
        <f t="shared" si="2"/>
        <v/>
      </c>
      <c r="Z37" s="133">
        <f>(IF(OR($B37=0,$C37=0,$D37=0),0,IF(OR($E37=0,($G37+$F37=0),$H37=0),0,MIN((VLOOKUP($E37,$A$232:$C$241,3,0))*(IF($E37=6,$W37,$O37))*((MIN((VLOOKUP($E37,$A$232:$E$241,5,0)),(IF($E37=6,$O37,$W37))))),MIN((VLOOKUP($E37,$A$232:$C$241,3,0)),($F37+$G37))*(IF($E37=6,$W37,((MIN((VLOOKUP($E37,$A$232:$E$241,5,0)),$W37)))))))))*$X37</f>
        <v>0</v>
      </c>
      <c r="AA37" s="139">
        <f t="shared" si="3"/>
        <v>0</v>
      </c>
      <c r="AB37" s="126"/>
      <c r="AC37" s="295"/>
      <c r="AD37" s="295"/>
      <c r="AF37" s="359">
        <f t="shared" si="9"/>
        <v>0</v>
      </c>
    </row>
    <row r="38" spans="1:32" s="22" customFormat="1" ht="24.75" customHeight="1" x14ac:dyDescent="0.2">
      <c r="A38" s="177">
        <v>35</v>
      </c>
      <c r="B38" s="325"/>
      <c r="C38" s="325"/>
      <c r="D38" s="325"/>
      <c r="E38" s="326"/>
      <c r="F38" s="327"/>
      <c r="G38" s="328"/>
      <c r="H38" s="329"/>
      <c r="I38" s="329"/>
      <c r="J38" s="330"/>
      <c r="K38" s="331">
        <f>(IF(OR($B38=0,$C38=0,$D38=0),0,IF(OR($E38=0,($G38+$F38=0),$H38=0),0,MIN((VLOOKUP($E38,$A$232:$C$241,3,0))*(IF($E38=6,$I38,$H38))*((MIN((VLOOKUP($E38,$A$232:$E$241,5,0)),(IF($E38=6,$H38,$I38))))),MIN((VLOOKUP($E38,$A$232:$C$241,3,0)),($F38+$G38))*(IF($E38=6,$I38,((MIN((VLOOKUP($E38,$A$232:$E$241,5,0)),$I38)))))))))*$J38</f>
        <v>0</v>
      </c>
      <c r="L38" s="332">
        <f t="shared" si="4"/>
        <v>0</v>
      </c>
      <c r="M38" s="333">
        <f t="shared" si="5"/>
        <v>0</v>
      </c>
      <c r="N38" s="277" t="str">
        <f>IF(E38&gt;0,MIN((VLOOKUP($E38,$A$232:$C$241,3,0)),($F38+$G38)),"")</f>
        <v/>
      </c>
      <c r="O38" s="273">
        <f>IF(E38=6,(MIN(VLOOKUP($E38,$A$232:$E$241,5,0),H38)),H38)</f>
        <v>0</v>
      </c>
      <c r="P38" s="272">
        <f>IF(E38=6,I38,IF(E38&gt;0,MIN((VLOOKUP($E38,$A$232:$E$241,5,0)),(I38)),0))*(1-$T$2)</f>
        <v>0</v>
      </c>
      <c r="Q38" s="62">
        <f t="shared" si="6"/>
        <v>0</v>
      </c>
      <c r="R38" s="274" t="str">
        <f t="shared" si="7"/>
        <v/>
      </c>
      <c r="S38" s="269">
        <f>(IF(OR($B38=0,$C38=0,$D38=0),0,IF(OR($E38=0,($G38+$F38=0),$H38=0),0,MIN((VLOOKUP($E38,$A$232:$C$241,3,0))*(IF($E38=6,$P38,$O38))*((MIN((VLOOKUP($E38,$A$232:$E$241,5,0)),(IF($E38=6,$O38,$P38))))),MIN((VLOOKUP($E38,$A$232:$C$241,3,0)),($F38+$G38))*(IF($E38=6,$P38,((MIN((VLOOKUP($E38,$A$232:$E$241,5,0)),$P38)))))))))*$Q38</f>
        <v>0</v>
      </c>
      <c r="T38" s="101">
        <f t="shared" si="8"/>
        <v>0</v>
      </c>
      <c r="U38" s="122"/>
      <c r="V38" s="300"/>
      <c r="W38" s="131">
        <f t="shared" si="10"/>
        <v>0</v>
      </c>
      <c r="X38" s="62">
        <f t="shared" si="1"/>
        <v>0</v>
      </c>
      <c r="Y38" s="63" t="str">
        <f t="shared" si="2"/>
        <v/>
      </c>
      <c r="Z38" s="133">
        <f>(IF(OR($B38=0,$C38=0,$D38=0),0,IF(OR($E38=0,($G38+$F38=0),$H38=0),0,MIN((VLOOKUP($E38,$A$232:$C$241,3,0))*(IF($E38=6,$W38,$O38))*((MIN((VLOOKUP($E38,$A$232:$E$241,5,0)),(IF($E38=6,$O38,$W38))))),MIN((VLOOKUP($E38,$A$232:$C$241,3,0)),($F38+$G38))*(IF($E38=6,$W38,((MIN((VLOOKUP($E38,$A$232:$E$241,5,0)),$W38)))))))))*$X38</f>
        <v>0</v>
      </c>
      <c r="AA38" s="139">
        <f t="shared" si="3"/>
        <v>0</v>
      </c>
      <c r="AB38" s="126"/>
      <c r="AC38" s="295"/>
      <c r="AD38" s="295"/>
      <c r="AF38" s="359">
        <f t="shared" si="9"/>
        <v>0</v>
      </c>
    </row>
    <row r="39" spans="1:32" s="22" customFormat="1" ht="24.75" customHeight="1" x14ac:dyDescent="0.2">
      <c r="A39" s="177">
        <v>36</v>
      </c>
      <c r="B39" s="325"/>
      <c r="C39" s="325"/>
      <c r="D39" s="325"/>
      <c r="E39" s="326"/>
      <c r="F39" s="327"/>
      <c r="G39" s="328"/>
      <c r="H39" s="329"/>
      <c r="I39" s="329"/>
      <c r="J39" s="330"/>
      <c r="K39" s="331">
        <f>(IF(OR($B39=0,$C39=0,$D39=0),0,IF(OR($E39=0,($G39+$F39=0),$H39=0),0,MIN((VLOOKUP($E39,$A$232:$C$241,3,0))*(IF($E39=6,$I39,$H39))*((MIN((VLOOKUP($E39,$A$232:$E$241,5,0)),(IF($E39=6,$H39,$I39))))),MIN((VLOOKUP($E39,$A$232:$C$241,3,0)),($F39+$G39))*(IF($E39=6,$I39,((MIN((VLOOKUP($E39,$A$232:$E$241,5,0)),$I39)))))))))*$J39</f>
        <v>0</v>
      </c>
      <c r="L39" s="332">
        <f t="shared" si="4"/>
        <v>0</v>
      </c>
      <c r="M39" s="333">
        <f t="shared" si="5"/>
        <v>0</v>
      </c>
      <c r="N39" s="277" t="str">
        <f>IF(E39&gt;0,MIN((VLOOKUP($E39,$A$232:$C$241,3,0)),($F39+$G39)),"")</f>
        <v/>
      </c>
      <c r="O39" s="273">
        <f>IF(E39=6,(MIN(VLOOKUP($E39,$A$232:$E$241,5,0),H39)),H39)</f>
        <v>0</v>
      </c>
      <c r="P39" s="272">
        <f>IF(E39=6,I39,IF(E39&gt;0,MIN((VLOOKUP($E39,$A$232:$E$241,5,0)),(I39)),0))*(1-$T$2)</f>
        <v>0</v>
      </c>
      <c r="Q39" s="62">
        <f t="shared" si="6"/>
        <v>0</v>
      </c>
      <c r="R39" s="274" t="str">
        <f t="shared" si="7"/>
        <v/>
      </c>
      <c r="S39" s="269">
        <f>(IF(OR($B39=0,$C39=0,$D39=0),0,IF(OR($E39=0,($G39+$F39=0),$H39=0),0,MIN((VLOOKUP($E39,$A$232:$C$241,3,0))*(IF($E39=6,$P39,$O39))*((MIN((VLOOKUP($E39,$A$232:$E$241,5,0)),(IF($E39=6,$O39,$P39))))),MIN((VLOOKUP($E39,$A$232:$C$241,3,0)),($F39+$G39))*(IF($E39=6,$P39,((MIN((VLOOKUP($E39,$A$232:$E$241,5,0)),$P39)))))))))*$Q39</f>
        <v>0</v>
      </c>
      <c r="T39" s="101">
        <f t="shared" si="8"/>
        <v>0</v>
      </c>
      <c r="U39" s="122"/>
      <c r="V39" s="300"/>
      <c r="W39" s="131">
        <f t="shared" si="10"/>
        <v>0</v>
      </c>
      <c r="X39" s="62">
        <f t="shared" si="1"/>
        <v>0</v>
      </c>
      <c r="Y39" s="63" t="str">
        <f t="shared" si="2"/>
        <v/>
      </c>
      <c r="Z39" s="133">
        <f>(IF(OR($B39=0,$C39=0,$D39=0),0,IF(OR($E39=0,($G39+$F39=0),$H39=0),0,MIN((VLOOKUP($E39,$A$232:$C$241,3,0))*(IF($E39=6,$W39,$O39))*((MIN((VLOOKUP($E39,$A$232:$E$241,5,0)),(IF($E39=6,$O39,$W39))))),MIN((VLOOKUP($E39,$A$232:$C$241,3,0)),($F39+$G39))*(IF($E39=6,$W39,((MIN((VLOOKUP($E39,$A$232:$E$241,5,0)),$W39)))))))))*$X39</f>
        <v>0</v>
      </c>
      <c r="AA39" s="139">
        <f t="shared" si="3"/>
        <v>0</v>
      </c>
      <c r="AB39" s="126"/>
      <c r="AC39" s="295"/>
      <c r="AD39" s="295"/>
      <c r="AF39" s="359">
        <f t="shared" si="9"/>
        <v>0</v>
      </c>
    </row>
    <row r="40" spans="1:32" s="22" customFormat="1" ht="24.75" customHeight="1" x14ac:dyDescent="0.2">
      <c r="A40" s="177">
        <v>37</v>
      </c>
      <c r="B40" s="325"/>
      <c r="C40" s="325"/>
      <c r="D40" s="325"/>
      <c r="E40" s="326"/>
      <c r="F40" s="327"/>
      <c r="G40" s="328"/>
      <c r="H40" s="329"/>
      <c r="I40" s="329"/>
      <c r="J40" s="330"/>
      <c r="K40" s="331">
        <f>(IF(OR($B40=0,$C40=0,$D40=0),0,IF(OR($E40=0,($G40+$F40=0),$H40=0),0,MIN((VLOOKUP($E40,$A$232:$C$241,3,0))*(IF($E40=6,$I40,$H40))*((MIN((VLOOKUP($E40,$A$232:$E$241,5,0)),(IF($E40=6,$H40,$I40))))),MIN((VLOOKUP($E40,$A$232:$C$241,3,0)),($F40+$G40))*(IF($E40=6,$I40,((MIN((VLOOKUP($E40,$A$232:$E$241,5,0)),$I40)))))))))*$J40</f>
        <v>0</v>
      </c>
      <c r="L40" s="332">
        <f t="shared" si="4"/>
        <v>0</v>
      </c>
      <c r="M40" s="333">
        <f t="shared" si="5"/>
        <v>0</v>
      </c>
      <c r="N40" s="277" t="str">
        <f>IF(E40&gt;0,MIN((VLOOKUP($E40,$A$232:$C$241,3,0)),($F40+$G40)),"")</f>
        <v/>
      </c>
      <c r="O40" s="273">
        <f>IF(E40=6,(MIN(VLOOKUP($E40,$A$232:$E$241,5,0),H40)),H40)</f>
        <v>0</v>
      </c>
      <c r="P40" s="272">
        <f>IF(E40=6,I40,IF(E40&gt;0,MIN((VLOOKUP($E40,$A$232:$E$241,5,0)),(I40)),0))*(1-$T$2)</f>
        <v>0</v>
      </c>
      <c r="Q40" s="62">
        <f t="shared" si="6"/>
        <v>0</v>
      </c>
      <c r="R40" s="274" t="str">
        <f t="shared" si="7"/>
        <v/>
      </c>
      <c r="S40" s="269">
        <f>(IF(OR($B40=0,$C40=0,$D40=0),0,IF(OR($E40=0,($G40+$F40=0),$H40=0),0,MIN((VLOOKUP($E40,$A$232:$C$241,3,0))*(IF($E40=6,$P40,$O40))*((MIN((VLOOKUP($E40,$A$232:$E$241,5,0)),(IF($E40=6,$O40,$P40))))),MIN((VLOOKUP($E40,$A$232:$C$241,3,0)),($F40+$G40))*(IF($E40=6,$P40,((MIN((VLOOKUP($E40,$A$232:$E$241,5,0)),$P40)))))))))*$Q40</f>
        <v>0</v>
      </c>
      <c r="T40" s="101">
        <f t="shared" si="8"/>
        <v>0</v>
      </c>
      <c r="U40" s="122"/>
      <c r="V40" s="300"/>
      <c r="W40" s="131">
        <f t="shared" si="10"/>
        <v>0</v>
      </c>
      <c r="X40" s="62">
        <f t="shared" si="1"/>
        <v>0</v>
      </c>
      <c r="Y40" s="63" t="str">
        <f t="shared" si="2"/>
        <v/>
      </c>
      <c r="Z40" s="133">
        <f>(IF(OR($B40=0,$C40=0,$D40=0),0,IF(OR($E40=0,($G40+$F40=0),$H40=0),0,MIN((VLOOKUP($E40,$A$232:$C$241,3,0))*(IF($E40=6,$W40,$O40))*((MIN((VLOOKUP($E40,$A$232:$E$241,5,0)),(IF($E40=6,$O40,$W40))))),MIN((VLOOKUP($E40,$A$232:$C$241,3,0)),($F40+$G40))*(IF($E40=6,$W40,((MIN((VLOOKUP($E40,$A$232:$E$241,5,0)),$W40)))))))))*$X40</f>
        <v>0</v>
      </c>
      <c r="AA40" s="139">
        <f t="shared" si="3"/>
        <v>0</v>
      </c>
      <c r="AB40" s="126"/>
      <c r="AC40" s="295"/>
      <c r="AD40" s="295"/>
      <c r="AF40" s="359">
        <f t="shared" si="9"/>
        <v>0</v>
      </c>
    </row>
    <row r="41" spans="1:32" s="22" customFormat="1" ht="24.75" customHeight="1" x14ac:dyDescent="0.2">
      <c r="A41" s="177">
        <v>38</v>
      </c>
      <c r="B41" s="325"/>
      <c r="C41" s="325"/>
      <c r="D41" s="325"/>
      <c r="E41" s="326"/>
      <c r="F41" s="327"/>
      <c r="G41" s="328"/>
      <c r="H41" s="329"/>
      <c r="I41" s="329"/>
      <c r="J41" s="330"/>
      <c r="K41" s="331">
        <f>(IF(OR($B41=0,$C41=0,$D41=0),0,IF(OR($E41=0,($G41+$F41=0),$H41=0),0,MIN((VLOOKUP($E41,$A$232:$C$241,3,0))*(IF($E41=6,$I41,$H41))*((MIN((VLOOKUP($E41,$A$232:$E$241,5,0)),(IF($E41=6,$H41,$I41))))),MIN((VLOOKUP($E41,$A$232:$C$241,3,0)),($F41+$G41))*(IF($E41=6,$I41,((MIN((VLOOKUP($E41,$A$232:$E$241,5,0)),$I41)))))))))*$J41</f>
        <v>0</v>
      </c>
      <c r="L41" s="332">
        <f t="shared" si="4"/>
        <v>0</v>
      </c>
      <c r="M41" s="333">
        <f t="shared" si="5"/>
        <v>0</v>
      </c>
      <c r="N41" s="277" t="str">
        <f>IF(E41&gt;0,MIN((VLOOKUP($E41,$A$232:$C$241,3,0)),($F41+$G41)),"")</f>
        <v/>
      </c>
      <c r="O41" s="273">
        <f>IF(E41=6,(MIN(VLOOKUP($E41,$A$232:$E$241,5,0),H41)),H41)</f>
        <v>0</v>
      </c>
      <c r="P41" s="272">
        <f>IF(E41=6,I41,IF(E41&gt;0,MIN((VLOOKUP($E41,$A$232:$E$241,5,0)),(I41)),0))*(1-$T$2)</f>
        <v>0</v>
      </c>
      <c r="Q41" s="62">
        <f t="shared" si="6"/>
        <v>0</v>
      </c>
      <c r="R41" s="274" t="str">
        <f t="shared" si="7"/>
        <v/>
      </c>
      <c r="S41" s="269">
        <f>(IF(OR($B41=0,$C41=0,$D41=0),0,IF(OR($E41=0,($G41+$F41=0),$H41=0),0,MIN((VLOOKUP($E41,$A$232:$C$241,3,0))*(IF($E41=6,$P41,$O41))*((MIN((VLOOKUP($E41,$A$232:$E$241,5,0)),(IF($E41=6,$O41,$P41))))),MIN((VLOOKUP($E41,$A$232:$C$241,3,0)),($F41+$G41))*(IF($E41=6,$P41,((MIN((VLOOKUP($E41,$A$232:$E$241,5,0)),$P41)))))))))*$Q41</f>
        <v>0</v>
      </c>
      <c r="T41" s="101">
        <f t="shared" si="8"/>
        <v>0</v>
      </c>
      <c r="U41" s="122"/>
      <c r="V41" s="300"/>
      <c r="W41" s="131">
        <f t="shared" si="10"/>
        <v>0</v>
      </c>
      <c r="X41" s="62">
        <f t="shared" si="1"/>
        <v>0</v>
      </c>
      <c r="Y41" s="63" t="str">
        <f t="shared" si="2"/>
        <v/>
      </c>
      <c r="Z41" s="133">
        <f>(IF(OR($B41=0,$C41=0,$D41=0),0,IF(OR($E41=0,($G41+$F41=0),$H41=0),0,MIN((VLOOKUP($E41,$A$232:$C$241,3,0))*(IF($E41=6,$W41,$O41))*((MIN((VLOOKUP($E41,$A$232:$E$241,5,0)),(IF($E41=6,$O41,$W41))))),MIN((VLOOKUP($E41,$A$232:$C$241,3,0)),($F41+$G41))*(IF($E41=6,$W41,((MIN((VLOOKUP($E41,$A$232:$E$241,5,0)),$W41)))))))))*$X41</f>
        <v>0</v>
      </c>
      <c r="AA41" s="139">
        <f t="shared" si="3"/>
        <v>0</v>
      </c>
      <c r="AB41" s="126"/>
      <c r="AC41" s="295"/>
      <c r="AD41" s="295"/>
      <c r="AF41" s="359">
        <f t="shared" si="9"/>
        <v>0</v>
      </c>
    </row>
    <row r="42" spans="1:32" s="22" customFormat="1" ht="24.75" customHeight="1" x14ac:dyDescent="0.2">
      <c r="A42" s="177">
        <v>39</v>
      </c>
      <c r="B42" s="325"/>
      <c r="C42" s="325"/>
      <c r="D42" s="325"/>
      <c r="E42" s="326"/>
      <c r="F42" s="327"/>
      <c r="G42" s="328"/>
      <c r="H42" s="329"/>
      <c r="I42" s="329"/>
      <c r="J42" s="330"/>
      <c r="K42" s="331">
        <f>(IF(OR($B42=0,$C42=0,$D42=0),0,IF(OR($E42=0,($G42+$F42=0),$H42=0),0,MIN((VLOOKUP($E42,$A$232:$C$241,3,0))*(IF($E42=6,$I42,$H42))*((MIN((VLOOKUP($E42,$A$232:$E$241,5,0)),(IF($E42=6,$H42,$I42))))),MIN((VLOOKUP($E42,$A$232:$C$241,3,0)),($F42+$G42))*(IF($E42=6,$I42,((MIN((VLOOKUP($E42,$A$232:$E$241,5,0)),$I42)))))))))*$J42</f>
        <v>0</v>
      </c>
      <c r="L42" s="332">
        <f t="shared" si="4"/>
        <v>0</v>
      </c>
      <c r="M42" s="333">
        <f t="shared" si="5"/>
        <v>0</v>
      </c>
      <c r="N42" s="277" t="str">
        <f>IF(E42&gt;0,MIN((VLOOKUP($E42,$A$232:$C$241,3,0)),($F42+$G42)),"")</f>
        <v/>
      </c>
      <c r="O42" s="273">
        <f>IF(E42=6,(MIN(VLOOKUP($E42,$A$232:$E$241,5,0),H42)),H42)</f>
        <v>0</v>
      </c>
      <c r="P42" s="272">
        <f>IF(E42=6,I42,IF(E42&gt;0,MIN((VLOOKUP($E42,$A$232:$E$241,5,0)),(I42)),0))*(1-$T$2)</f>
        <v>0</v>
      </c>
      <c r="Q42" s="62">
        <f t="shared" si="6"/>
        <v>0</v>
      </c>
      <c r="R42" s="274" t="str">
        <f t="shared" si="7"/>
        <v/>
      </c>
      <c r="S42" s="269">
        <f>(IF(OR($B42=0,$C42=0,$D42=0),0,IF(OR($E42=0,($G42+$F42=0),$H42=0),0,MIN((VLOOKUP($E42,$A$232:$C$241,3,0))*(IF($E42=6,$P42,$O42))*((MIN((VLOOKUP($E42,$A$232:$E$241,5,0)),(IF($E42=6,$O42,$P42))))),MIN((VLOOKUP($E42,$A$232:$C$241,3,0)),($F42+$G42))*(IF($E42=6,$P42,((MIN((VLOOKUP($E42,$A$232:$E$241,5,0)),$P42)))))))))*$Q42</f>
        <v>0</v>
      </c>
      <c r="T42" s="101">
        <f t="shared" si="8"/>
        <v>0</v>
      </c>
      <c r="U42" s="122"/>
      <c r="V42" s="300"/>
      <c r="W42" s="131">
        <f t="shared" si="10"/>
        <v>0</v>
      </c>
      <c r="X42" s="62">
        <f t="shared" si="1"/>
        <v>0</v>
      </c>
      <c r="Y42" s="63" t="str">
        <f t="shared" si="2"/>
        <v/>
      </c>
      <c r="Z42" s="133">
        <f>(IF(OR($B42=0,$C42=0,$D42=0),0,IF(OR($E42=0,($G42+$F42=0),$H42=0),0,MIN((VLOOKUP($E42,$A$232:$C$241,3,0))*(IF($E42=6,$W42,$O42))*((MIN((VLOOKUP($E42,$A$232:$E$241,5,0)),(IF($E42=6,$O42,$W42))))),MIN((VLOOKUP($E42,$A$232:$C$241,3,0)),($F42+$G42))*(IF($E42=6,$W42,((MIN((VLOOKUP($E42,$A$232:$E$241,5,0)),$W42)))))))))*$X42</f>
        <v>0</v>
      </c>
      <c r="AA42" s="139">
        <f t="shared" si="3"/>
        <v>0</v>
      </c>
      <c r="AB42" s="126"/>
      <c r="AC42" s="295"/>
      <c r="AD42" s="295"/>
      <c r="AF42" s="359">
        <f t="shared" si="9"/>
        <v>0</v>
      </c>
    </row>
    <row r="43" spans="1:32" s="22" customFormat="1" ht="24.75" customHeight="1" x14ac:dyDescent="0.2">
      <c r="A43" s="177">
        <v>40</v>
      </c>
      <c r="B43" s="325"/>
      <c r="C43" s="325"/>
      <c r="D43" s="325"/>
      <c r="E43" s="326"/>
      <c r="F43" s="327"/>
      <c r="G43" s="328"/>
      <c r="H43" s="329"/>
      <c r="I43" s="329"/>
      <c r="J43" s="330"/>
      <c r="K43" s="331">
        <f>(IF(OR($B43=0,$C43=0,$D43=0),0,IF(OR($E43=0,($G43+$F43=0),$H43=0),0,MIN((VLOOKUP($E43,$A$232:$C$241,3,0))*(IF($E43=6,$I43,$H43))*((MIN((VLOOKUP($E43,$A$232:$E$241,5,0)),(IF($E43=6,$H43,$I43))))),MIN((VLOOKUP($E43,$A$232:$C$241,3,0)),($F43+$G43))*(IF($E43=6,$I43,((MIN((VLOOKUP($E43,$A$232:$E$241,5,0)),$I43)))))))))*$J43</f>
        <v>0</v>
      </c>
      <c r="L43" s="332">
        <f t="shared" si="4"/>
        <v>0</v>
      </c>
      <c r="M43" s="333">
        <f t="shared" si="5"/>
        <v>0</v>
      </c>
      <c r="N43" s="277" t="str">
        <f>IF(E43&gt;0,MIN((VLOOKUP($E43,$A$232:$C$241,3,0)),($F43+$G43)),"")</f>
        <v/>
      </c>
      <c r="O43" s="273">
        <f>IF(E43=6,(MIN(VLOOKUP($E43,$A$232:$E$241,5,0),H43)),H43)</f>
        <v>0</v>
      </c>
      <c r="P43" s="272">
        <f>IF(E43=6,I43,IF(E43&gt;0,MIN((VLOOKUP($E43,$A$232:$E$241,5,0)),(I43)),0))*(1-$T$2)</f>
        <v>0</v>
      </c>
      <c r="Q43" s="62">
        <f t="shared" si="6"/>
        <v>0</v>
      </c>
      <c r="R43" s="274" t="str">
        <f t="shared" si="7"/>
        <v/>
      </c>
      <c r="S43" s="269">
        <f>(IF(OR($B43=0,$C43=0,$D43=0),0,IF(OR($E43=0,($G43+$F43=0),$H43=0),0,MIN((VLOOKUP($E43,$A$232:$C$241,3,0))*(IF($E43=6,$P43,$O43))*((MIN((VLOOKUP($E43,$A$232:$E$241,5,0)),(IF($E43=6,$O43,$P43))))),MIN((VLOOKUP($E43,$A$232:$C$241,3,0)),($F43+$G43))*(IF($E43=6,$P43,((MIN((VLOOKUP($E43,$A$232:$E$241,5,0)),$P43)))))))))*$Q43</f>
        <v>0</v>
      </c>
      <c r="T43" s="101">
        <f t="shared" si="8"/>
        <v>0</v>
      </c>
      <c r="U43" s="122"/>
      <c r="V43" s="300"/>
      <c r="W43" s="131">
        <f t="shared" si="10"/>
        <v>0</v>
      </c>
      <c r="X43" s="62">
        <f t="shared" si="1"/>
        <v>0</v>
      </c>
      <c r="Y43" s="63" t="str">
        <f t="shared" si="2"/>
        <v/>
      </c>
      <c r="Z43" s="133">
        <f>(IF(OR($B43=0,$C43=0,$D43=0),0,IF(OR($E43=0,($G43+$F43=0),$H43=0),0,MIN((VLOOKUP($E43,$A$232:$C$241,3,0))*(IF($E43=6,$W43,$O43))*((MIN((VLOOKUP($E43,$A$232:$E$241,5,0)),(IF($E43=6,$O43,$W43))))),MIN((VLOOKUP($E43,$A$232:$C$241,3,0)),($F43+$G43))*(IF($E43=6,$W43,((MIN((VLOOKUP($E43,$A$232:$E$241,5,0)),$W43)))))))))*$X43</f>
        <v>0</v>
      </c>
      <c r="AA43" s="139">
        <f t="shared" si="3"/>
        <v>0</v>
      </c>
      <c r="AB43" s="126"/>
      <c r="AC43" s="295"/>
      <c r="AD43" s="295"/>
      <c r="AF43" s="359">
        <f t="shared" si="9"/>
        <v>0</v>
      </c>
    </row>
    <row r="44" spans="1:32" s="22" customFormat="1" ht="24.75" customHeight="1" x14ac:dyDescent="0.2">
      <c r="A44" s="177">
        <v>41</v>
      </c>
      <c r="B44" s="325"/>
      <c r="C44" s="325"/>
      <c r="D44" s="325"/>
      <c r="E44" s="326"/>
      <c r="F44" s="327"/>
      <c r="G44" s="328"/>
      <c r="H44" s="329"/>
      <c r="I44" s="329"/>
      <c r="J44" s="330"/>
      <c r="K44" s="331">
        <f>(IF(OR($B44=0,$C44=0,$D44=0),0,IF(OR($E44=0,($G44+$F44=0),$H44=0),0,MIN((VLOOKUP($E44,$A$232:$C$241,3,0))*(IF($E44=6,$I44,$H44))*((MIN((VLOOKUP($E44,$A$232:$E$241,5,0)),(IF($E44=6,$H44,$I44))))),MIN((VLOOKUP($E44,$A$232:$C$241,3,0)),($F44+$G44))*(IF($E44=6,$I44,((MIN((VLOOKUP($E44,$A$232:$E$241,5,0)),$I44)))))))))*$J44</f>
        <v>0</v>
      </c>
      <c r="L44" s="332">
        <f t="shared" si="4"/>
        <v>0</v>
      </c>
      <c r="M44" s="333">
        <f t="shared" si="5"/>
        <v>0</v>
      </c>
      <c r="N44" s="277" t="str">
        <f>IF(E44&gt;0,MIN((VLOOKUP($E44,$A$232:$C$241,3,0)),($F44+$G44)),"")</f>
        <v/>
      </c>
      <c r="O44" s="273">
        <f>IF(E44=6,(MIN(VLOOKUP($E44,$A$232:$E$241,5,0),H44)),H44)</f>
        <v>0</v>
      </c>
      <c r="P44" s="272">
        <f>IF(E44=6,I44,IF(E44&gt;0,MIN((VLOOKUP($E44,$A$232:$E$241,5,0)),(I44)),0))*(1-$T$2)</f>
        <v>0</v>
      </c>
      <c r="Q44" s="62">
        <f t="shared" si="6"/>
        <v>0</v>
      </c>
      <c r="R44" s="274" t="str">
        <f t="shared" si="7"/>
        <v/>
      </c>
      <c r="S44" s="269">
        <f>(IF(OR($B44=0,$C44=0,$D44=0),0,IF(OR($E44=0,($G44+$F44=0),$H44=0),0,MIN((VLOOKUP($E44,$A$232:$C$241,3,0))*(IF($E44=6,$P44,$O44))*((MIN((VLOOKUP($E44,$A$232:$E$241,5,0)),(IF($E44=6,$O44,$P44))))),MIN((VLOOKUP($E44,$A$232:$C$241,3,0)),($F44+$G44))*(IF($E44=6,$P44,((MIN((VLOOKUP($E44,$A$232:$E$241,5,0)),$P44)))))))))*$Q44</f>
        <v>0</v>
      </c>
      <c r="T44" s="101">
        <f t="shared" si="8"/>
        <v>0</v>
      </c>
      <c r="U44" s="122"/>
      <c r="V44" s="300"/>
      <c r="W44" s="131">
        <f t="shared" si="10"/>
        <v>0</v>
      </c>
      <c r="X44" s="62">
        <f t="shared" si="1"/>
        <v>0</v>
      </c>
      <c r="Y44" s="63" t="str">
        <f t="shared" si="2"/>
        <v/>
      </c>
      <c r="Z44" s="133">
        <f>(IF(OR($B44=0,$C44=0,$D44=0),0,IF(OR($E44=0,($G44+$F44=0),$H44=0),0,MIN((VLOOKUP($E44,$A$232:$C$241,3,0))*(IF($E44=6,$W44,$O44))*((MIN((VLOOKUP($E44,$A$232:$E$241,5,0)),(IF($E44=6,$O44,$W44))))),MIN((VLOOKUP($E44,$A$232:$C$241,3,0)),($F44+$G44))*(IF($E44=6,$W44,((MIN((VLOOKUP($E44,$A$232:$E$241,5,0)),$W44)))))))))*$X44</f>
        <v>0</v>
      </c>
      <c r="AA44" s="139">
        <f t="shared" si="3"/>
        <v>0</v>
      </c>
      <c r="AB44" s="126"/>
      <c r="AC44" s="295"/>
      <c r="AD44" s="295"/>
      <c r="AF44" s="359">
        <f t="shared" si="9"/>
        <v>0</v>
      </c>
    </row>
    <row r="45" spans="1:32" s="22" customFormat="1" ht="24.75" customHeight="1" x14ac:dyDescent="0.2">
      <c r="A45" s="177">
        <v>42</v>
      </c>
      <c r="B45" s="325"/>
      <c r="C45" s="325"/>
      <c r="D45" s="325"/>
      <c r="E45" s="326"/>
      <c r="F45" s="327"/>
      <c r="G45" s="328"/>
      <c r="H45" s="329"/>
      <c r="I45" s="329"/>
      <c r="J45" s="330"/>
      <c r="K45" s="331">
        <f>(IF(OR($B45=0,$C45=0,$D45=0),0,IF(OR($E45=0,($G45+$F45=0),$H45=0),0,MIN((VLOOKUP($E45,$A$232:$C$241,3,0))*(IF($E45=6,$I45,$H45))*((MIN((VLOOKUP($E45,$A$232:$E$241,5,0)),(IF($E45=6,$H45,$I45))))),MIN((VLOOKUP($E45,$A$232:$C$241,3,0)),($F45+$G45))*(IF($E45=6,$I45,((MIN((VLOOKUP($E45,$A$232:$E$241,5,0)),$I45)))))))))*$J45</f>
        <v>0</v>
      </c>
      <c r="L45" s="332">
        <f t="shared" si="4"/>
        <v>0</v>
      </c>
      <c r="M45" s="333">
        <f t="shared" si="5"/>
        <v>0</v>
      </c>
      <c r="N45" s="277" t="str">
        <f>IF(E45&gt;0,MIN((VLOOKUP($E45,$A$232:$C$241,3,0)),($F45+$G45)),"")</f>
        <v/>
      </c>
      <c r="O45" s="273">
        <f>IF(E45=6,(MIN(VLOOKUP($E45,$A$232:$E$241,5,0),H45)),H45)</f>
        <v>0</v>
      </c>
      <c r="P45" s="272">
        <f>IF(E45=6,I45,IF(E45&gt;0,MIN((VLOOKUP($E45,$A$232:$E$241,5,0)),(I45)),0))*(1-$T$2)</f>
        <v>0</v>
      </c>
      <c r="Q45" s="62">
        <f t="shared" si="6"/>
        <v>0</v>
      </c>
      <c r="R45" s="274" t="str">
        <f t="shared" si="7"/>
        <v/>
      </c>
      <c r="S45" s="269">
        <f>(IF(OR($B45=0,$C45=0,$D45=0),0,IF(OR($E45=0,($G45+$F45=0),$H45=0),0,MIN((VLOOKUP($E45,$A$232:$C$241,3,0))*(IF($E45=6,$P45,$O45))*((MIN((VLOOKUP($E45,$A$232:$E$241,5,0)),(IF($E45=6,$O45,$P45))))),MIN((VLOOKUP($E45,$A$232:$C$241,3,0)),($F45+$G45))*(IF($E45=6,$P45,((MIN((VLOOKUP($E45,$A$232:$E$241,5,0)),$P45)))))))))*$Q45</f>
        <v>0</v>
      </c>
      <c r="T45" s="101">
        <f t="shared" si="8"/>
        <v>0</v>
      </c>
      <c r="U45" s="122"/>
      <c r="V45" s="300"/>
      <c r="W45" s="131">
        <f t="shared" si="10"/>
        <v>0</v>
      </c>
      <c r="X45" s="62">
        <f t="shared" si="1"/>
        <v>0</v>
      </c>
      <c r="Y45" s="63" t="str">
        <f t="shared" si="2"/>
        <v/>
      </c>
      <c r="Z45" s="133">
        <f>(IF(OR($B45=0,$C45=0,$D45=0),0,IF(OR($E45=0,($G45+$F45=0),$H45=0),0,MIN((VLOOKUP($E45,$A$232:$C$241,3,0))*(IF($E45=6,$W45,$O45))*((MIN((VLOOKUP($E45,$A$232:$E$241,5,0)),(IF($E45=6,$O45,$W45))))),MIN((VLOOKUP($E45,$A$232:$C$241,3,0)),($F45+$G45))*(IF($E45=6,$W45,((MIN((VLOOKUP($E45,$A$232:$E$241,5,0)),$W45)))))))))*$X45</f>
        <v>0</v>
      </c>
      <c r="AA45" s="139">
        <f t="shared" si="3"/>
        <v>0</v>
      </c>
      <c r="AB45" s="126"/>
      <c r="AC45" s="295"/>
      <c r="AD45" s="295"/>
      <c r="AF45" s="359">
        <f t="shared" si="9"/>
        <v>0</v>
      </c>
    </row>
    <row r="46" spans="1:32" s="22" customFormat="1" ht="24.75" customHeight="1" x14ac:dyDescent="0.2">
      <c r="A46" s="177">
        <v>43</v>
      </c>
      <c r="B46" s="325"/>
      <c r="C46" s="325"/>
      <c r="D46" s="325"/>
      <c r="E46" s="326"/>
      <c r="F46" s="327"/>
      <c r="G46" s="328"/>
      <c r="H46" s="329"/>
      <c r="I46" s="329"/>
      <c r="J46" s="330"/>
      <c r="K46" s="331">
        <f>(IF(OR($B46=0,$C46=0,$D46=0),0,IF(OR($E46=0,($G46+$F46=0),$H46=0),0,MIN((VLOOKUP($E46,$A$232:$C$241,3,0))*(IF($E46=6,$I46,$H46))*((MIN((VLOOKUP($E46,$A$232:$E$241,5,0)),(IF($E46=6,$H46,$I46))))),MIN((VLOOKUP($E46,$A$232:$C$241,3,0)),($F46+$G46))*(IF($E46=6,$I46,((MIN((VLOOKUP($E46,$A$232:$E$241,5,0)),$I46)))))))))*$J46</f>
        <v>0</v>
      </c>
      <c r="L46" s="332">
        <f t="shared" si="4"/>
        <v>0</v>
      </c>
      <c r="M46" s="333">
        <f t="shared" si="5"/>
        <v>0</v>
      </c>
      <c r="N46" s="277" t="str">
        <f>IF(E46&gt;0,MIN((VLOOKUP($E46,$A$232:$C$241,3,0)),($F46+$G46)),"")</f>
        <v/>
      </c>
      <c r="O46" s="273">
        <f>IF(E46=6,(MIN(VLOOKUP($E46,$A$232:$E$241,5,0),H46)),H46)</f>
        <v>0</v>
      </c>
      <c r="P46" s="272">
        <f>IF(E46=6,I46,IF(E46&gt;0,MIN((VLOOKUP($E46,$A$232:$E$241,5,0)),(I46)),0))*(1-$T$2)</f>
        <v>0</v>
      </c>
      <c r="Q46" s="62">
        <f t="shared" si="6"/>
        <v>0</v>
      </c>
      <c r="R46" s="274" t="str">
        <f t="shared" si="7"/>
        <v/>
      </c>
      <c r="S46" s="269">
        <f>(IF(OR($B46=0,$C46=0,$D46=0),0,IF(OR($E46=0,($G46+$F46=0),$H46=0),0,MIN((VLOOKUP($E46,$A$232:$C$241,3,0))*(IF($E46=6,$P46,$O46))*((MIN((VLOOKUP($E46,$A$232:$E$241,5,0)),(IF($E46=6,$O46,$P46))))),MIN((VLOOKUP($E46,$A$232:$C$241,3,0)),($F46+$G46))*(IF($E46=6,$P46,((MIN((VLOOKUP($E46,$A$232:$E$241,5,0)),$P46)))))))))*$Q46</f>
        <v>0</v>
      </c>
      <c r="T46" s="101">
        <f t="shared" si="8"/>
        <v>0</v>
      </c>
      <c r="U46" s="122"/>
      <c r="V46" s="300"/>
      <c r="W46" s="131">
        <f t="shared" si="10"/>
        <v>0</v>
      </c>
      <c r="X46" s="62">
        <f t="shared" si="1"/>
        <v>0</v>
      </c>
      <c r="Y46" s="63" t="str">
        <f t="shared" si="2"/>
        <v/>
      </c>
      <c r="Z46" s="133">
        <f>(IF(OR($B46=0,$C46=0,$D46=0),0,IF(OR($E46=0,($G46+$F46=0),$H46=0),0,MIN((VLOOKUP($E46,$A$232:$C$241,3,0))*(IF($E46=6,$W46,$O46))*((MIN((VLOOKUP($E46,$A$232:$E$241,5,0)),(IF($E46=6,$O46,$W46))))),MIN((VLOOKUP($E46,$A$232:$C$241,3,0)),($F46+$G46))*(IF($E46=6,$W46,((MIN((VLOOKUP($E46,$A$232:$E$241,5,0)),$W46)))))))))*$X46</f>
        <v>0</v>
      </c>
      <c r="AA46" s="139">
        <f t="shared" si="3"/>
        <v>0</v>
      </c>
      <c r="AB46" s="126"/>
      <c r="AC46" s="295"/>
      <c r="AD46" s="295"/>
      <c r="AF46" s="359">
        <f t="shared" si="9"/>
        <v>0</v>
      </c>
    </row>
    <row r="47" spans="1:32" s="22" customFormat="1" ht="24.75" customHeight="1" x14ac:dyDescent="0.2">
      <c r="A47" s="177">
        <v>44</v>
      </c>
      <c r="B47" s="325"/>
      <c r="C47" s="325"/>
      <c r="D47" s="325"/>
      <c r="E47" s="326"/>
      <c r="F47" s="327"/>
      <c r="G47" s="328"/>
      <c r="H47" s="329"/>
      <c r="I47" s="329"/>
      <c r="J47" s="330"/>
      <c r="K47" s="331">
        <f>(IF(OR($B47=0,$C47=0,$D47=0),0,IF(OR($E47=0,($G47+$F47=0),$H47=0),0,MIN((VLOOKUP($E47,$A$232:$C$241,3,0))*(IF($E47=6,$I47,$H47))*((MIN((VLOOKUP($E47,$A$232:$E$241,5,0)),(IF($E47=6,$H47,$I47))))),MIN((VLOOKUP($E47,$A$232:$C$241,3,0)),($F47+$G47))*(IF($E47=6,$I47,((MIN((VLOOKUP($E47,$A$232:$E$241,5,0)),$I47)))))))))*$J47</f>
        <v>0</v>
      </c>
      <c r="L47" s="332">
        <f t="shared" si="4"/>
        <v>0</v>
      </c>
      <c r="M47" s="333">
        <f t="shared" si="5"/>
        <v>0</v>
      </c>
      <c r="N47" s="277" t="str">
        <f>IF(E47&gt;0,MIN((VLOOKUP($E47,$A$232:$C$241,3,0)),($F47+$G47)),"")</f>
        <v/>
      </c>
      <c r="O47" s="273">
        <f>IF(E47=6,(MIN(VLOOKUP($E47,$A$232:$E$241,5,0),H47)),H47)</f>
        <v>0</v>
      </c>
      <c r="P47" s="272">
        <f>IF(E47=6,I47,IF(E47&gt;0,MIN((VLOOKUP($E47,$A$232:$E$241,5,0)),(I47)),0))*(1-$T$2)</f>
        <v>0</v>
      </c>
      <c r="Q47" s="62">
        <f t="shared" si="6"/>
        <v>0</v>
      </c>
      <c r="R47" s="274" t="str">
        <f t="shared" si="7"/>
        <v/>
      </c>
      <c r="S47" s="269">
        <f>(IF(OR($B47=0,$C47=0,$D47=0),0,IF(OR($E47=0,($G47+$F47=0),$H47=0),0,MIN((VLOOKUP($E47,$A$232:$C$241,3,0))*(IF($E47=6,$P47,$O47))*((MIN((VLOOKUP($E47,$A$232:$E$241,5,0)),(IF($E47=6,$O47,$P47))))),MIN((VLOOKUP($E47,$A$232:$C$241,3,0)),($F47+$G47))*(IF($E47=6,$P47,((MIN((VLOOKUP($E47,$A$232:$E$241,5,0)),$P47)))))))))*$Q47</f>
        <v>0</v>
      </c>
      <c r="T47" s="101">
        <f t="shared" si="8"/>
        <v>0</v>
      </c>
      <c r="U47" s="122"/>
      <c r="V47" s="300"/>
      <c r="W47" s="131">
        <f t="shared" si="10"/>
        <v>0</v>
      </c>
      <c r="X47" s="62">
        <f t="shared" si="1"/>
        <v>0</v>
      </c>
      <c r="Y47" s="63" t="str">
        <f t="shared" si="2"/>
        <v/>
      </c>
      <c r="Z47" s="133">
        <f>(IF(OR($B47=0,$C47=0,$D47=0),0,IF(OR($E47=0,($G47+$F47=0),$H47=0),0,MIN((VLOOKUP($E47,$A$232:$C$241,3,0))*(IF($E47=6,$W47,$O47))*((MIN((VLOOKUP($E47,$A$232:$E$241,5,0)),(IF($E47=6,$O47,$W47))))),MIN((VLOOKUP($E47,$A$232:$C$241,3,0)),($F47+$G47))*(IF($E47=6,$W47,((MIN((VLOOKUP($E47,$A$232:$E$241,5,0)),$W47)))))))))*$X47</f>
        <v>0</v>
      </c>
      <c r="AA47" s="139">
        <f t="shared" si="3"/>
        <v>0</v>
      </c>
      <c r="AB47" s="126"/>
      <c r="AC47" s="295"/>
      <c r="AD47" s="295"/>
      <c r="AF47" s="359">
        <f t="shared" si="9"/>
        <v>0</v>
      </c>
    </row>
    <row r="48" spans="1:32" s="22" customFormat="1" ht="24.75" customHeight="1" x14ac:dyDescent="0.2">
      <c r="A48" s="177">
        <v>45</v>
      </c>
      <c r="B48" s="325"/>
      <c r="C48" s="325"/>
      <c r="D48" s="325"/>
      <c r="E48" s="326"/>
      <c r="F48" s="327"/>
      <c r="G48" s="328"/>
      <c r="H48" s="329"/>
      <c r="I48" s="329"/>
      <c r="J48" s="330"/>
      <c r="K48" s="331">
        <f>(IF(OR($B48=0,$C48=0,$D48=0),0,IF(OR($E48=0,($G48+$F48=0),$H48=0),0,MIN((VLOOKUP($E48,$A$232:$C$241,3,0))*(IF($E48=6,$I48,$H48))*((MIN((VLOOKUP($E48,$A$232:$E$241,5,0)),(IF($E48=6,$H48,$I48))))),MIN((VLOOKUP($E48,$A$232:$C$241,3,0)),($F48+$G48))*(IF($E48=6,$I48,((MIN((VLOOKUP($E48,$A$232:$E$241,5,0)),$I48)))))))))*$J48</f>
        <v>0</v>
      </c>
      <c r="L48" s="332">
        <f t="shared" si="4"/>
        <v>0</v>
      </c>
      <c r="M48" s="333">
        <f t="shared" si="5"/>
        <v>0</v>
      </c>
      <c r="N48" s="277" t="str">
        <f>IF(E48&gt;0,MIN((VLOOKUP($E48,$A$232:$C$241,3,0)),($F48+$G48)),"")</f>
        <v/>
      </c>
      <c r="O48" s="273">
        <f>IF(E48=6,(MIN(VLOOKUP($E48,$A$232:$E$241,5,0),H48)),H48)</f>
        <v>0</v>
      </c>
      <c r="P48" s="272">
        <f>IF(E48=6,I48,IF(E48&gt;0,MIN((VLOOKUP($E48,$A$232:$E$241,5,0)),(I48)),0))*(1-$T$2)</f>
        <v>0</v>
      </c>
      <c r="Q48" s="62">
        <f t="shared" si="6"/>
        <v>0</v>
      </c>
      <c r="R48" s="274" t="str">
        <f t="shared" si="7"/>
        <v/>
      </c>
      <c r="S48" s="269">
        <f>(IF(OR($B48=0,$C48=0,$D48=0),0,IF(OR($E48=0,($G48+$F48=0),$H48=0),0,MIN((VLOOKUP($E48,$A$232:$C$241,3,0))*(IF($E48=6,$P48,$O48))*((MIN((VLOOKUP($E48,$A$232:$E$241,5,0)),(IF($E48=6,$O48,$P48))))),MIN((VLOOKUP($E48,$A$232:$C$241,3,0)),($F48+$G48))*(IF($E48=6,$P48,((MIN((VLOOKUP($E48,$A$232:$E$241,5,0)),$P48)))))))))*$Q48</f>
        <v>0</v>
      </c>
      <c r="T48" s="101">
        <f t="shared" si="8"/>
        <v>0</v>
      </c>
      <c r="U48" s="122"/>
      <c r="V48" s="300"/>
      <c r="W48" s="131">
        <f t="shared" si="10"/>
        <v>0</v>
      </c>
      <c r="X48" s="62">
        <f t="shared" si="1"/>
        <v>0</v>
      </c>
      <c r="Y48" s="63" t="str">
        <f t="shared" si="2"/>
        <v/>
      </c>
      <c r="Z48" s="133">
        <f>(IF(OR($B48=0,$C48=0,$D48=0),0,IF(OR($E48=0,($G48+$F48=0),$H48=0),0,MIN((VLOOKUP($E48,$A$232:$C$241,3,0))*(IF($E48=6,$W48,$O48))*((MIN((VLOOKUP($E48,$A$232:$E$241,5,0)),(IF($E48=6,$O48,$W48))))),MIN((VLOOKUP($E48,$A$232:$C$241,3,0)),($F48+$G48))*(IF($E48=6,$W48,((MIN((VLOOKUP($E48,$A$232:$E$241,5,0)),$W48)))))))))*$X48</f>
        <v>0</v>
      </c>
      <c r="AA48" s="139">
        <f t="shared" si="3"/>
        <v>0</v>
      </c>
      <c r="AB48" s="126"/>
      <c r="AC48" s="295"/>
      <c r="AD48" s="295"/>
      <c r="AF48" s="359">
        <f t="shared" si="9"/>
        <v>0</v>
      </c>
    </row>
    <row r="49" spans="1:32" s="22" customFormat="1" ht="24.75" customHeight="1" x14ac:dyDescent="0.2">
      <c r="A49" s="177">
        <v>46</v>
      </c>
      <c r="B49" s="325"/>
      <c r="C49" s="325"/>
      <c r="D49" s="325"/>
      <c r="E49" s="326"/>
      <c r="F49" s="327"/>
      <c r="G49" s="328"/>
      <c r="H49" s="329"/>
      <c r="I49" s="329"/>
      <c r="J49" s="330"/>
      <c r="K49" s="331">
        <f>(IF(OR($B49=0,$C49=0,$D49=0),0,IF(OR($E49=0,($G49+$F49=0),$H49=0),0,MIN((VLOOKUP($E49,$A$232:$C$241,3,0))*(IF($E49=6,$I49,$H49))*((MIN((VLOOKUP($E49,$A$232:$E$241,5,0)),(IF($E49=6,$H49,$I49))))),MIN((VLOOKUP($E49,$A$232:$C$241,3,0)),($F49+$G49))*(IF($E49=6,$I49,((MIN((VLOOKUP($E49,$A$232:$E$241,5,0)),$I49)))))))))*$J49</f>
        <v>0</v>
      </c>
      <c r="L49" s="332">
        <f t="shared" si="4"/>
        <v>0</v>
      </c>
      <c r="M49" s="333">
        <f t="shared" si="5"/>
        <v>0</v>
      </c>
      <c r="N49" s="277" t="str">
        <f>IF(E49&gt;0,MIN((VLOOKUP($E49,$A$232:$C$241,3,0)),($F49+$G49)),"")</f>
        <v/>
      </c>
      <c r="O49" s="273">
        <f>IF(E49=6,(MIN(VLOOKUP($E49,$A$232:$E$241,5,0),H49)),H49)</f>
        <v>0</v>
      </c>
      <c r="P49" s="272">
        <f>IF(E49=6,I49,IF(E49&gt;0,MIN((VLOOKUP($E49,$A$232:$E$241,5,0)),(I49)),0))*(1-$T$2)</f>
        <v>0</v>
      </c>
      <c r="Q49" s="62">
        <f t="shared" si="6"/>
        <v>0</v>
      </c>
      <c r="R49" s="274" t="str">
        <f t="shared" si="7"/>
        <v/>
      </c>
      <c r="S49" s="269">
        <f>(IF(OR($B49=0,$C49=0,$D49=0),0,IF(OR($E49=0,($G49+$F49=0),$H49=0),0,MIN((VLOOKUP($E49,$A$232:$C$241,3,0))*(IF($E49=6,$P49,$O49))*((MIN((VLOOKUP($E49,$A$232:$E$241,5,0)),(IF($E49=6,$O49,$P49))))),MIN((VLOOKUP($E49,$A$232:$C$241,3,0)),($F49+$G49))*(IF($E49=6,$P49,((MIN((VLOOKUP($E49,$A$232:$E$241,5,0)),$P49)))))))))*$Q49</f>
        <v>0</v>
      </c>
      <c r="T49" s="101">
        <f t="shared" si="8"/>
        <v>0</v>
      </c>
      <c r="U49" s="122"/>
      <c r="V49" s="300"/>
      <c r="W49" s="131">
        <f t="shared" si="10"/>
        <v>0</v>
      </c>
      <c r="X49" s="62">
        <f t="shared" si="1"/>
        <v>0</v>
      </c>
      <c r="Y49" s="63" t="str">
        <f t="shared" si="2"/>
        <v/>
      </c>
      <c r="Z49" s="133">
        <f>(IF(OR($B49=0,$C49=0,$D49=0),0,IF(OR($E49=0,($G49+$F49=0),$H49=0),0,MIN((VLOOKUP($E49,$A$232:$C$241,3,0))*(IF($E49=6,$W49,$O49))*((MIN((VLOOKUP($E49,$A$232:$E$241,5,0)),(IF($E49=6,$O49,$W49))))),MIN((VLOOKUP($E49,$A$232:$C$241,3,0)),($F49+$G49))*(IF($E49=6,$W49,((MIN((VLOOKUP($E49,$A$232:$E$241,5,0)),$W49)))))))))*$X49</f>
        <v>0</v>
      </c>
      <c r="AA49" s="139">
        <f t="shared" si="3"/>
        <v>0</v>
      </c>
      <c r="AB49" s="126"/>
      <c r="AC49" s="295"/>
      <c r="AD49" s="295"/>
      <c r="AF49" s="359">
        <f t="shared" si="9"/>
        <v>0</v>
      </c>
    </row>
    <row r="50" spans="1:32" s="22" customFormat="1" ht="24.75" customHeight="1" x14ac:dyDescent="0.2">
      <c r="A50" s="177">
        <v>47</v>
      </c>
      <c r="B50" s="325"/>
      <c r="C50" s="325"/>
      <c r="D50" s="325"/>
      <c r="E50" s="326"/>
      <c r="F50" s="327"/>
      <c r="G50" s="328"/>
      <c r="H50" s="329"/>
      <c r="I50" s="329"/>
      <c r="J50" s="330"/>
      <c r="K50" s="331">
        <f>(IF(OR($B50=0,$C50=0,$D50=0),0,IF(OR($E50=0,($G50+$F50=0),$H50=0),0,MIN((VLOOKUP($E50,$A$232:$C$241,3,0))*(IF($E50=6,$I50,$H50))*((MIN((VLOOKUP($E50,$A$232:$E$241,5,0)),(IF($E50=6,$H50,$I50))))),MIN((VLOOKUP($E50,$A$232:$C$241,3,0)),($F50+$G50))*(IF($E50=6,$I50,((MIN((VLOOKUP($E50,$A$232:$E$241,5,0)),$I50)))))))))*$J50</f>
        <v>0</v>
      </c>
      <c r="L50" s="332">
        <f t="shared" si="4"/>
        <v>0</v>
      </c>
      <c r="M50" s="333">
        <f t="shared" si="5"/>
        <v>0</v>
      </c>
      <c r="N50" s="277" t="str">
        <f>IF(E50&gt;0,MIN((VLOOKUP($E50,$A$232:$C$241,3,0)),($F50+$G50)),"")</f>
        <v/>
      </c>
      <c r="O50" s="273">
        <f>IF(E50=6,(MIN(VLOOKUP($E50,$A$232:$E$241,5,0),H50)),H50)</f>
        <v>0</v>
      </c>
      <c r="P50" s="272">
        <f>IF(E50=6,I50,IF(E50&gt;0,MIN((VLOOKUP($E50,$A$232:$E$241,5,0)),(I50)),0))*(1-$T$2)</f>
        <v>0</v>
      </c>
      <c r="Q50" s="62">
        <f t="shared" si="6"/>
        <v>0</v>
      </c>
      <c r="R50" s="274" t="str">
        <f t="shared" si="7"/>
        <v/>
      </c>
      <c r="S50" s="269">
        <f>(IF(OR($B50=0,$C50=0,$D50=0),0,IF(OR($E50=0,($G50+$F50=0),$H50=0),0,MIN((VLOOKUP($E50,$A$232:$C$241,3,0))*(IF($E50=6,$P50,$O50))*((MIN((VLOOKUP($E50,$A$232:$E$241,5,0)),(IF($E50=6,$O50,$P50))))),MIN((VLOOKUP($E50,$A$232:$C$241,3,0)),($F50+$G50))*(IF($E50=6,$P50,((MIN((VLOOKUP($E50,$A$232:$E$241,5,0)),$P50)))))))))*$Q50</f>
        <v>0</v>
      </c>
      <c r="T50" s="101">
        <f t="shared" si="8"/>
        <v>0</v>
      </c>
      <c r="U50" s="122"/>
      <c r="V50" s="300"/>
      <c r="W50" s="131">
        <f t="shared" si="10"/>
        <v>0</v>
      </c>
      <c r="X50" s="62">
        <f t="shared" si="1"/>
        <v>0</v>
      </c>
      <c r="Y50" s="63" t="str">
        <f t="shared" si="2"/>
        <v/>
      </c>
      <c r="Z50" s="133">
        <f>(IF(OR($B50=0,$C50=0,$D50=0),0,IF(OR($E50=0,($G50+$F50=0),$H50=0),0,MIN((VLOOKUP($E50,$A$232:$C$241,3,0))*(IF($E50=6,$W50,$O50))*((MIN((VLOOKUP($E50,$A$232:$E$241,5,0)),(IF($E50=6,$O50,$W50))))),MIN((VLOOKUP($E50,$A$232:$C$241,3,0)),($F50+$G50))*(IF($E50=6,$W50,((MIN((VLOOKUP($E50,$A$232:$E$241,5,0)),$W50)))))))))*$X50</f>
        <v>0</v>
      </c>
      <c r="AA50" s="139">
        <f t="shared" si="3"/>
        <v>0</v>
      </c>
      <c r="AB50" s="126"/>
      <c r="AC50" s="295"/>
      <c r="AD50" s="295"/>
      <c r="AF50" s="359">
        <f t="shared" si="9"/>
        <v>0</v>
      </c>
    </row>
    <row r="51" spans="1:32" s="22" customFormat="1" ht="24.75" customHeight="1" x14ac:dyDescent="0.2">
      <c r="A51" s="177">
        <v>48</v>
      </c>
      <c r="B51" s="325"/>
      <c r="C51" s="325"/>
      <c r="D51" s="325"/>
      <c r="E51" s="326"/>
      <c r="F51" s="327"/>
      <c r="G51" s="328"/>
      <c r="H51" s="329"/>
      <c r="I51" s="329"/>
      <c r="J51" s="330"/>
      <c r="K51" s="331">
        <f>(IF(OR($B51=0,$C51=0,$D51=0),0,IF(OR($E51=0,($G51+$F51=0),$H51=0),0,MIN((VLOOKUP($E51,$A$232:$C$241,3,0))*(IF($E51=6,$I51,$H51))*((MIN((VLOOKUP($E51,$A$232:$E$241,5,0)),(IF($E51=6,$H51,$I51))))),MIN((VLOOKUP($E51,$A$232:$C$241,3,0)),($F51+$G51))*(IF($E51=6,$I51,((MIN((VLOOKUP($E51,$A$232:$E$241,5,0)),$I51)))))))))*$J51</f>
        <v>0</v>
      </c>
      <c r="L51" s="332">
        <f t="shared" si="4"/>
        <v>0</v>
      </c>
      <c r="M51" s="333">
        <f t="shared" si="5"/>
        <v>0</v>
      </c>
      <c r="N51" s="277" t="str">
        <f>IF(E51&gt;0,MIN((VLOOKUP($E51,$A$232:$C$241,3,0)),($F51+$G51)),"")</f>
        <v/>
      </c>
      <c r="O51" s="273">
        <f>IF(E51=6,(MIN(VLOOKUP($E51,$A$232:$E$241,5,0),H51)),H51)</f>
        <v>0</v>
      </c>
      <c r="P51" s="272">
        <f>IF(E51=6,I51,IF(E51&gt;0,MIN((VLOOKUP($E51,$A$232:$E$241,5,0)),(I51)),0))*(1-$T$2)</f>
        <v>0</v>
      </c>
      <c r="Q51" s="62">
        <f t="shared" si="6"/>
        <v>0</v>
      </c>
      <c r="R51" s="274" t="str">
        <f t="shared" si="7"/>
        <v/>
      </c>
      <c r="S51" s="269">
        <f>(IF(OR($B51=0,$C51=0,$D51=0),0,IF(OR($E51=0,($G51+$F51=0),$H51=0),0,MIN((VLOOKUP($E51,$A$232:$C$241,3,0))*(IF($E51=6,$P51,$O51))*((MIN((VLOOKUP($E51,$A$232:$E$241,5,0)),(IF($E51=6,$O51,$P51))))),MIN((VLOOKUP($E51,$A$232:$C$241,3,0)),($F51+$G51))*(IF($E51=6,$P51,((MIN((VLOOKUP($E51,$A$232:$E$241,5,0)),$P51)))))))))*$Q51</f>
        <v>0</v>
      </c>
      <c r="T51" s="101">
        <f t="shared" si="8"/>
        <v>0</v>
      </c>
      <c r="U51" s="122"/>
      <c r="V51" s="300"/>
      <c r="W51" s="131">
        <f t="shared" si="10"/>
        <v>0</v>
      </c>
      <c r="X51" s="62">
        <f t="shared" si="1"/>
        <v>0</v>
      </c>
      <c r="Y51" s="63" t="str">
        <f t="shared" si="2"/>
        <v/>
      </c>
      <c r="Z51" s="133">
        <f>(IF(OR($B51=0,$C51=0,$D51=0),0,IF(OR($E51=0,($G51+$F51=0),$H51=0),0,MIN((VLOOKUP($E51,$A$232:$C$241,3,0))*(IF($E51=6,$W51,$O51))*((MIN((VLOOKUP($E51,$A$232:$E$241,5,0)),(IF($E51=6,$O51,$W51))))),MIN((VLOOKUP($E51,$A$232:$C$241,3,0)),($F51+$G51))*(IF($E51=6,$W51,((MIN((VLOOKUP($E51,$A$232:$E$241,5,0)),$W51)))))))))*$X51</f>
        <v>0</v>
      </c>
      <c r="AA51" s="139">
        <f t="shared" si="3"/>
        <v>0</v>
      </c>
      <c r="AB51" s="126"/>
      <c r="AC51" s="295"/>
      <c r="AD51" s="295"/>
      <c r="AF51" s="359">
        <f t="shared" si="9"/>
        <v>0</v>
      </c>
    </row>
    <row r="52" spans="1:32" s="22" customFormat="1" ht="24.75" customHeight="1" x14ac:dyDescent="0.2">
      <c r="A52" s="177">
        <v>49</v>
      </c>
      <c r="B52" s="325"/>
      <c r="C52" s="325"/>
      <c r="D52" s="325"/>
      <c r="E52" s="326"/>
      <c r="F52" s="327"/>
      <c r="G52" s="328"/>
      <c r="H52" s="329"/>
      <c r="I52" s="329"/>
      <c r="J52" s="330"/>
      <c r="K52" s="331">
        <f>(IF(OR($B52=0,$C52=0,$D52=0),0,IF(OR($E52=0,($G52+$F52=0),$H52=0),0,MIN((VLOOKUP($E52,$A$232:$C$241,3,0))*(IF($E52=6,$I52,$H52))*((MIN((VLOOKUP($E52,$A$232:$E$241,5,0)),(IF($E52=6,$H52,$I52))))),MIN((VLOOKUP($E52,$A$232:$C$241,3,0)),($F52+$G52))*(IF($E52=6,$I52,((MIN((VLOOKUP($E52,$A$232:$E$241,5,0)),$I52)))))))))*$J52</f>
        <v>0</v>
      </c>
      <c r="L52" s="332">
        <f t="shared" si="4"/>
        <v>0</v>
      </c>
      <c r="M52" s="333">
        <f t="shared" si="5"/>
        <v>0</v>
      </c>
      <c r="N52" s="277" t="str">
        <f>IF(E52&gt;0,MIN((VLOOKUP($E52,$A$232:$C$241,3,0)),($F52+$G52)),"")</f>
        <v/>
      </c>
      <c r="O52" s="273">
        <f>IF(E52=6,(MIN(VLOOKUP($E52,$A$232:$E$241,5,0),H52)),H52)</f>
        <v>0</v>
      </c>
      <c r="P52" s="272">
        <f>IF(E52=6,I52,IF(E52&gt;0,MIN((VLOOKUP($E52,$A$232:$E$241,5,0)),(I52)),0))*(1-$T$2)</f>
        <v>0</v>
      </c>
      <c r="Q52" s="62">
        <f t="shared" si="6"/>
        <v>0</v>
      </c>
      <c r="R52" s="274" t="str">
        <f t="shared" si="7"/>
        <v/>
      </c>
      <c r="S52" s="269">
        <f>(IF(OR($B52=0,$C52=0,$D52=0),0,IF(OR($E52=0,($G52+$F52=0),$H52=0),0,MIN((VLOOKUP($E52,$A$232:$C$241,3,0))*(IF($E52=6,$P52,$O52))*((MIN((VLOOKUP($E52,$A$232:$E$241,5,0)),(IF($E52=6,$O52,$P52))))),MIN((VLOOKUP($E52,$A$232:$C$241,3,0)),($F52+$G52))*(IF($E52=6,$P52,((MIN((VLOOKUP($E52,$A$232:$E$241,5,0)),$P52)))))))))*$Q52</f>
        <v>0</v>
      </c>
      <c r="T52" s="101">
        <f t="shared" si="8"/>
        <v>0</v>
      </c>
      <c r="U52" s="122"/>
      <c r="V52" s="300"/>
      <c r="W52" s="131">
        <f t="shared" si="10"/>
        <v>0</v>
      </c>
      <c r="X52" s="62">
        <f t="shared" si="1"/>
        <v>0</v>
      </c>
      <c r="Y52" s="63" t="str">
        <f t="shared" si="2"/>
        <v/>
      </c>
      <c r="Z52" s="133">
        <f>(IF(OR($B52=0,$C52=0,$D52=0),0,IF(OR($E52=0,($G52+$F52=0),$H52=0),0,MIN((VLOOKUP($E52,$A$232:$C$241,3,0))*(IF($E52=6,$W52,$O52))*((MIN((VLOOKUP($E52,$A$232:$E$241,5,0)),(IF($E52=6,$O52,$W52))))),MIN((VLOOKUP($E52,$A$232:$C$241,3,0)),($F52+$G52))*(IF($E52=6,$W52,((MIN((VLOOKUP($E52,$A$232:$E$241,5,0)),$W52)))))))))*$X52</f>
        <v>0</v>
      </c>
      <c r="AA52" s="139">
        <f t="shared" si="3"/>
        <v>0</v>
      </c>
      <c r="AB52" s="126"/>
      <c r="AC52" s="295"/>
      <c r="AD52" s="295"/>
      <c r="AF52" s="359">
        <f t="shared" si="9"/>
        <v>0</v>
      </c>
    </row>
    <row r="53" spans="1:32" s="22" customFormat="1" ht="24.75" customHeight="1" x14ac:dyDescent="0.2">
      <c r="A53" s="177">
        <v>50</v>
      </c>
      <c r="B53" s="325"/>
      <c r="C53" s="325"/>
      <c r="D53" s="325"/>
      <c r="E53" s="326"/>
      <c r="F53" s="327"/>
      <c r="G53" s="328"/>
      <c r="H53" s="329"/>
      <c r="I53" s="329"/>
      <c r="J53" s="330"/>
      <c r="K53" s="331">
        <f>(IF(OR($B53=0,$C53=0,$D53=0),0,IF(OR($E53=0,($G53+$F53=0),$H53=0),0,MIN((VLOOKUP($E53,$A$232:$C$241,3,0))*(IF($E53=6,$I53,$H53))*((MIN((VLOOKUP($E53,$A$232:$E$241,5,0)),(IF($E53=6,$H53,$I53))))),MIN((VLOOKUP($E53,$A$232:$C$241,3,0)),($F53+$G53))*(IF($E53=6,$I53,((MIN((VLOOKUP($E53,$A$232:$E$241,5,0)),$I53)))))))))*$J53</f>
        <v>0</v>
      </c>
      <c r="L53" s="332">
        <f t="shared" si="4"/>
        <v>0</v>
      </c>
      <c r="M53" s="333">
        <f t="shared" si="5"/>
        <v>0</v>
      </c>
      <c r="N53" s="277" t="str">
        <f>IF(E53&gt;0,MIN((VLOOKUP($E53,$A$232:$C$241,3,0)),($F53+$G53)),"")</f>
        <v/>
      </c>
      <c r="O53" s="273">
        <f>IF(E53=6,(MIN(VLOOKUP($E53,$A$232:$E$241,5,0),H53)),H53)</f>
        <v>0</v>
      </c>
      <c r="P53" s="272">
        <f>IF(E53=6,I53,IF(E53&gt;0,MIN((VLOOKUP($E53,$A$232:$E$241,5,0)),(I53)),0))*(1-$T$2)</f>
        <v>0</v>
      </c>
      <c r="Q53" s="62">
        <f t="shared" si="6"/>
        <v>0</v>
      </c>
      <c r="R53" s="274" t="str">
        <f t="shared" si="7"/>
        <v/>
      </c>
      <c r="S53" s="269">
        <f>(IF(OR($B53=0,$C53=0,$D53=0),0,IF(OR($E53=0,($G53+$F53=0),$H53=0),0,MIN((VLOOKUP($E53,$A$232:$C$241,3,0))*(IF($E53=6,$P53,$O53))*((MIN((VLOOKUP($E53,$A$232:$E$241,5,0)),(IF($E53=6,$O53,$P53))))),MIN((VLOOKUP($E53,$A$232:$C$241,3,0)),($F53+$G53))*(IF($E53=6,$P53,((MIN((VLOOKUP($E53,$A$232:$E$241,5,0)),$P53)))))))))*$Q53</f>
        <v>0</v>
      </c>
      <c r="T53" s="101">
        <f t="shared" si="8"/>
        <v>0</v>
      </c>
      <c r="U53" s="122"/>
      <c r="V53" s="300"/>
      <c r="W53" s="131">
        <f t="shared" si="10"/>
        <v>0</v>
      </c>
      <c r="X53" s="62">
        <f t="shared" si="1"/>
        <v>0</v>
      </c>
      <c r="Y53" s="63" t="str">
        <f t="shared" si="2"/>
        <v/>
      </c>
      <c r="Z53" s="133">
        <f>(IF(OR($B53=0,$C53=0,$D53=0),0,IF(OR($E53=0,($G53+$F53=0),$H53=0),0,MIN((VLOOKUP($E53,$A$232:$C$241,3,0))*(IF($E53=6,$W53,$O53))*((MIN((VLOOKUP($E53,$A$232:$E$241,5,0)),(IF($E53=6,$O53,$W53))))),MIN((VLOOKUP($E53,$A$232:$C$241,3,0)),($F53+$G53))*(IF($E53=6,$W53,((MIN((VLOOKUP($E53,$A$232:$E$241,5,0)),$W53)))))))))*$X53</f>
        <v>0</v>
      </c>
      <c r="AA53" s="139">
        <f t="shared" si="3"/>
        <v>0</v>
      </c>
      <c r="AB53" s="126"/>
      <c r="AC53" s="295"/>
      <c r="AD53" s="295"/>
      <c r="AF53" s="359">
        <f t="shared" si="9"/>
        <v>0</v>
      </c>
    </row>
    <row r="54" spans="1:32" s="22" customFormat="1" ht="24.75" customHeight="1" outlineLevel="1" x14ac:dyDescent="0.2">
      <c r="A54" s="177">
        <v>51</v>
      </c>
      <c r="B54" s="325"/>
      <c r="C54" s="325"/>
      <c r="D54" s="325"/>
      <c r="E54" s="326"/>
      <c r="F54" s="327"/>
      <c r="G54" s="328"/>
      <c r="H54" s="329"/>
      <c r="I54" s="329"/>
      <c r="J54" s="330"/>
      <c r="K54" s="331">
        <f>(IF(OR($B54=0,$C54=0,$D54=0),0,IF(OR($E54=0,($G54+$F54=0),$H54=0),0,MIN((VLOOKUP($E54,$A$232:$C$241,3,0))*(IF($E54=6,$I54,$H54))*((MIN((VLOOKUP($E54,$A$232:$E$241,5,0)),(IF($E54=6,$H54,$I54))))),MIN((VLOOKUP($E54,$A$232:$C$241,3,0)),($F54+$G54))*(IF($E54=6,$I54,((MIN((VLOOKUP($E54,$A$232:$E$241,5,0)),$I54)))))))))*$J54</f>
        <v>0</v>
      </c>
      <c r="L54" s="332">
        <f t="shared" si="4"/>
        <v>0</v>
      </c>
      <c r="M54" s="333">
        <f t="shared" si="5"/>
        <v>0</v>
      </c>
      <c r="N54" s="277" t="str">
        <f>IF(E54&gt;0,MIN((VLOOKUP($E54,$A$232:$C$241,3,0)),($F54+$G54)),"")</f>
        <v/>
      </c>
      <c r="O54" s="273">
        <f>IF(E54=6,(MIN(VLOOKUP($E54,$A$232:$E$241,5,0),H54)),H54)</f>
        <v>0</v>
      </c>
      <c r="P54" s="272">
        <f>IF(E54=6,I54,IF(E54&gt;0,MIN((VLOOKUP($E54,$A$232:$E$241,5,0)),(I54)),0))*(1-$T$2)</f>
        <v>0</v>
      </c>
      <c r="Q54" s="62">
        <f t="shared" si="6"/>
        <v>0</v>
      </c>
      <c r="R54" s="274" t="str">
        <f t="shared" si="7"/>
        <v/>
      </c>
      <c r="S54" s="269">
        <f>(IF(OR($B54=0,$C54=0,$D54=0),0,IF(OR($E54=0,($G54+$F54=0),$H54=0),0,MIN((VLOOKUP($E54,$A$232:$C$241,3,0))*(IF($E54=6,$P54,$O54))*((MIN((VLOOKUP($E54,$A$232:$E$241,5,0)),(IF($E54=6,$O54,$P54))))),MIN((VLOOKUP($E54,$A$232:$C$241,3,0)),($F54+$G54))*(IF($E54=6,$P54,((MIN((VLOOKUP($E54,$A$232:$E$241,5,0)),$P54)))))))))*$Q54</f>
        <v>0</v>
      </c>
      <c r="T54" s="101">
        <f t="shared" si="8"/>
        <v>0</v>
      </c>
      <c r="U54" s="122"/>
      <c r="V54" s="300"/>
      <c r="W54" s="131">
        <f t="shared" si="10"/>
        <v>0</v>
      </c>
      <c r="X54" s="62">
        <f t="shared" si="1"/>
        <v>0</v>
      </c>
      <c r="Y54" s="63" t="str">
        <f t="shared" si="2"/>
        <v/>
      </c>
      <c r="Z54" s="133">
        <f>(IF(OR($B54=0,$C54=0,$D54=0),0,IF(OR($E54=0,($G54+$F54=0),$H54=0),0,MIN((VLOOKUP($E54,$A$232:$C$241,3,0))*(IF($E54=6,$W54,$O54))*((MIN((VLOOKUP($E54,$A$232:$E$241,5,0)),(IF($E54=6,$O54,$W54))))),MIN((VLOOKUP($E54,$A$232:$C$241,3,0)),($F54+$G54))*(IF($E54=6,$W54,((MIN((VLOOKUP($E54,$A$232:$E$241,5,0)),$W54)))))))))*$X54</f>
        <v>0</v>
      </c>
      <c r="AA54" s="139">
        <f t="shared" si="3"/>
        <v>0</v>
      </c>
      <c r="AB54" s="126"/>
      <c r="AC54" s="295"/>
      <c r="AD54" s="295"/>
      <c r="AF54" s="359">
        <f t="shared" si="9"/>
        <v>0</v>
      </c>
    </row>
    <row r="55" spans="1:32" s="22" customFormat="1" ht="24.75" customHeight="1" outlineLevel="1" x14ac:dyDescent="0.2">
      <c r="A55" s="177">
        <v>52</v>
      </c>
      <c r="B55" s="325"/>
      <c r="C55" s="325"/>
      <c r="D55" s="325"/>
      <c r="E55" s="326"/>
      <c r="F55" s="327"/>
      <c r="G55" s="328"/>
      <c r="H55" s="329"/>
      <c r="I55" s="329"/>
      <c r="J55" s="330"/>
      <c r="K55" s="331">
        <f>(IF(OR($B55=0,$C55=0,$D55=0),0,IF(OR($E55=0,($G55+$F55=0),$H55=0),0,MIN((VLOOKUP($E55,$A$232:$C$241,3,0))*(IF($E55=6,$I55,$H55))*((MIN((VLOOKUP($E55,$A$232:$E$241,5,0)),(IF($E55=6,$H55,$I55))))),MIN((VLOOKUP($E55,$A$232:$C$241,3,0)),($F55+$G55))*(IF($E55=6,$I55,((MIN((VLOOKUP($E55,$A$232:$E$241,5,0)),$I55)))))))))*$J55</f>
        <v>0</v>
      </c>
      <c r="L55" s="332">
        <f t="shared" si="4"/>
        <v>0</v>
      </c>
      <c r="M55" s="333">
        <f t="shared" si="5"/>
        <v>0</v>
      </c>
      <c r="N55" s="277" t="str">
        <f>IF(E55&gt;0,MIN((VLOOKUP($E55,$A$232:$C$241,3,0)),($F55+$G55)),"")</f>
        <v/>
      </c>
      <c r="O55" s="273">
        <f>IF(E55=6,(MIN(VLOOKUP($E55,$A$232:$E$241,5,0),H55)),H55)</f>
        <v>0</v>
      </c>
      <c r="P55" s="272">
        <f>IF(E55=6,I55,IF(E55&gt;0,MIN((VLOOKUP($E55,$A$232:$E$241,5,0)),(I55)),0))*(1-$T$2)</f>
        <v>0</v>
      </c>
      <c r="Q55" s="62">
        <f t="shared" si="6"/>
        <v>0</v>
      </c>
      <c r="R55" s="274" t="str">
        <f t="shared" si="7"/>
        <v/>
      </c>
      <c r="S55" s="269">
        <f>(IF(OR($B55=0,$C55=0,$D55=0),0,IF(OR($E55=0,($G55+$F55=0),$H55=0),0,MIN((VLOOKUP($E55,$A$232:$C$241,3,0))*(IF($E55=6,$P55,$O55))*((MIN((VLOOKUP($E55,$A$232:$E$241,5,0)),(IF($E55=6,$O55,$P55))))),MIN((VLOOKUP($E55,$A$232:$C$241,3,0)),($F55+$G55))*(IF($E55=6,$P55,((MIN((VLOOKUP($E55,$A$232:$E$241,5,0)),$P55)))))))))*$Q55</f>
        <v>0</v>
      </c>
      <c r="T55" s="101">
        <f t="shared" si="8"/>
        <v>0</v>
      </c>
      <c r="U55" s="122"/>
      <c r="V55" s="300"/>
      <c r="W55" s="131">
        <f t="shared" si="10"/>
        <v>0</v>
      </c>
      <c r="X55" s="62">
        <f t="shared" si="1"/>
        <v>0</v>
      </c>
      <c r="Y55" s="63" t="str">
        <f t="shared" si="2"/>
        <v/>
      </c>
      <c r="Z55" s="133">
        <f>(IF(OR($B55=0,$C55=0,$D55=0),0,IF(OR($E55=0,($G55+$F55=0),$H55=0),0,MIN((VLOOKUP($E55,$A$232:$C$241,3,0))*(IF($E55=6,$W55,$O55))*((MIN((VLOOKUP($E55,$A$232:$E$241,5,0)),(IF($E55=6,$O55,$W55))))),MIN((VLOOKUP($E55,$A$232:$C$241,3,0)),($F55+$G55))*(IF($E55=6,$W55,((MIN((VLOOKUP($E55,$A$232:$E$241,5,0)),$W55)))))))))*$X55</f>
        <v>0</v>
      </c>
      <c r="AA55" s="139">
        <f t="shared" si="3"/>
        <v>0</v>
      </c>
      <c r="AB55" s="126"/>
      <c r="AC55" s="295"/>
      <c r="AD55" s="295"/>
      <c r="AF55" s="359">
        <f t="shared" si="9"/>
        <v>0</v>
      </c>
    </row>
    <row r="56" spans="1:32" s="22" customFormat="1" ht="24.75" customHeight="1" outlineLevel="1" x14ac:dyDescent="0.2">
      <c r="A56" s="177">
        <v>53</v>
      </c>
      <c r="B56" s="325"/>
      <c r="C56" s="325"/>
      <c r="D56" s="325"/>
      <c r="E56" s="326"/>
      <c r="F56" s="327"/>
      <c r="G56" s="328"/>
      <c r="H56" s="329"/>
      <c r="I56" s="329"/>
      <c r="J56" s="330"/>
      <c r="K56" s="331">
        <f>(IF(OR($B56=0,$C56=0,$D56=0),0,IF(OR($E56=0,($G56+$F56=0),$H56=0),0,MIN((VLOOKUP($E56,$A$232:$C$241,3,0))*(IF($E56=6,$I56,$H56))*((MIN((VLOOKUP($E56,$A$232:$E$241,5,0)),(IF($E56=6,$H56,$I56))))),MIN((VLOOKUP($E56,$A$232:$C$241,3,0)),($F56+$G56))*(IF($E56=6,$I56,((MIN((VLOOKUP($E56,$A$232:$E$241,5,0)),$I56)))))))))*$J56</f>
        <v>0</v>
      </c>
      <c r="L56" s="332">
        <f t="shared" si="4"/>
        <v>0</v>
      </c>
      <c r="M56" s="333">
        <f t="shared" si="5"/>
        <v>0</v>
      </c>
      <c r="N56" s="277" t="str">
        <f>IF(E56&gt;0,MIN((VLOOKUP($E56,$A$232:$C$241,3,0)),($F56+$G56)),"")</f>
        <v/>
      </c>
      <c r="O56" s="273">
        <f>IF(E56=6,(MIN(VLOOKUP($E56,$A$232:$E$241,5,0),H56)),H56)</f>
        <v>0</v>
      </c>
      <c r="P56" s="272">
        <f>IF(E56=6,I56,IF(E56&gt;0,MIN((VLOOKUP($E56,$A$232:$E$241,5,0)),(I56)),0))*(1-$T$2)</f>
        <v>0</v>
      </c>
      <c r="Q56" s="62">
        <f t="shared" si="6"/>
        <v>0</v>
      </c>
      <c r="R56" s="274" t="str">
        <f t="shared" si="7"/>
        <v/>
      </c>
      <c r="S56" s="269">
        <f>(IF(OR($B56=0,$C56=0,$D56=0),0,IF(OR($E56=0,($G56+$F56=0),$H56=0),0,MIN((VLOOKUP($E56,$A$232:$C$241,3,0))*(IF($E56=6,$P56,$O56))*((MIN((VLOOKUP($E56,$A$232:$E$241,5,0)),(IF($E56=6,$O56,$P56))))),MIN((VLOOKUP($E56,$A$232:$C$241,3,0)),($F56+$G56))*(IF($E56=6,$P56,((MIN((VLOOKUP($E56,$A$232:$E$241,5,0)),$P56)))))))))*$Q56</f>
        <v>0</v>
      </c>
      <c r="T56" s="101">
        <f t="shared" si="8"/>
        <v>0</v>
      </c>
      <c r="U56" s="122"/>
      <c r="V56" s="300"/>
      <c r="W56" s="131">
        <f t="shared" si="10"/>
        <v>0</v>
      </c>
      <c r="X56" s="62">
        <f t="shared" si="1"/>
        <v>0</v>
      </c>
      <c r="Y56" s="63" t="str">
        <f t="shared" si="2"/>
        <v/>
      </c>
      <c r="Z56" s="133">
        <f>(IF(OR($B56=0,$C56=0,$D56=0),0,IF(OR($E56=0,($G56+$F56=0),$H56=0),0,MIN((VLOOKUP($E56,$A$232:$C$241,3,0))*(IF($E56=6,$W56,$O56))*((MIN((VLOOKUP($E56,$A$232:$E$241,5,0)),(IF($E56=6,$O56,$W56))))),MIN((VLOOKUP($E56,$A$232:$C$241,3,0)),($F56+$G56))*(IF($E56=6,$W56,((MIN((VLOOKUP($E56,$A$232:$E$241,5,0)),$W56)))))))))*$X56</f>
        <v>0</v>
      </c>
      <c r="AA56" s="139">
        <f t="shared" si="3"/>
        <v>0</v>
      </c>
      <c r="AB56" s="126"/>
      <c r="AC56" s="295"/>
      <c r="AD56" s="295"/>
      <c r="AF56" s="359">
        <f t="shared" si="9"/>
        <v>0</v>
      </c>
    </row>
    <row r="57" spans="1:32" s="22" customFormat="1" ht="24.75" customHeight="1" outlineLevel="1" x14ac:dyDescent="0.2">
      <c r="A57" s="177">
        <v>54</v>
      </c>
      <c r="B57" s="325"/>
      <c r="C57" s="325"/>
      <c r="D57" s="325"/>
      <c r="E57" s="326"/>
      <c r="F57" s="327"/>
      <c r="G57" s="328"/>
      <c r="H57" s="329"/>
      <c r="I57" s="329"/>
      <c r="J57" s="330"/>
      <c r="K57" s="331">
        <f>(IF(OR($B57=0,$C57=0,$D57=0),0,IF(OR($E57=0,($G57+$F57=0),$H57=0),0,MIN((VLOOKUP($E57,$A$232:$C$241,3,0))*(IF($E57=6,$I57,$H57))*((MIN((VLOOKUP($E57,$A$232:$E$241,5,0)),(IF($E57=6,$H57,$I57))))),MIN((VLOOKUP($E57,$A$232:$C$241,3,0)),($F57+$G57))*(IF($E57=6,$I57,((MIN((VLOOKUP($E57,$A$232:$E$241,5,0)),$I57)))))))))*$J57</f>
        <v>0</v>
      </c>
      <c r="L57" s="332">
        <f t="shared" si="4"/>
        <v>0</v>
      </c>
      <c r="M57" s="333">
        <f t="shared" si="5"/>
        <v>0</v>
      </c>
      <c r="N57" s="277" t="str">
        <f>IF(E57&gt;0,MIN((VLOOKUP($E57,$A$232:$C$241,3,0)),($F57+$G57)),"")</f>
        <v/>
      </c>
      <c r="O57" s="273">
        <f>IF(E57=6,(MIN(VLOOKUP($E57,$A$232:$E$241,5,0),H57)),H57)</f>
        <v>0</v>
      </c>
      <c r="P57" s="272">
        <f>IF(E57=6,I57,IF(E57&gt;0,MIN((VLOOKUP($E57,$A$232:$E$241,5,0)),(I57)),0))*(1-$T$2)</f>
        <v>0</v>
      </c>
      <c r="Q57" s="62">
        <f t="shared" si="6"/>
        <v>0</v>
      </c>
      <c r="R57" s="274" t="str">
        <f t="shared" si="7"/>
        <v/>
      </c>
      <c r="S57" s="269">
        <f>(IF(OR($B57=0,$C57=0,$D57=0),0,IF(OR($E57=0,($G57+$F57=0),$H57=0),0,MIN((VLOOKUP($E57,$A$232:$C$241,3,0))*(IF($E57=6,$P57,$O57))*((MIN((VLOOKUP($E57,$A$232:$E$241,5,0)),(IF($E57=6,$O57,$P57))))),MIN((VLOOKUP($E57,$A$232:$C$241,3,0)),($F57+$G57))*(IF($E57=6,$P57,((MIN((VLOOKUP($E57,$A$232:$E$241,5,0)),$P57)))))))))*$Q57</f>
        <v>0</v>
      </c>
      <c r="T57" s="101">
        <f t="shared" si="8"/>
        <v>0</v>
      </c>
      <c r="U57" s="122"/>
      <c r="V57" s="300"/>
      <c r="W57" s="131">
        <f t="shared" si="10"/>
        <v>0</v>
      </c>
      <c r="X57" s="62">
        <f t="shared" si="1"/>
        <v>0</v>
      </c>
      <c r="Y57" s="63" t="str">
        <f t="shared" si="2"/>
        <v/>
      </c>
      <c r="Z57" s="133">
        <f>(IF(OR($B57=0,$C57=0,$D57=0),0,IF(OR($E57=0,($G57+$F57=0),$H57=0),0,MIN((VLOOKUP($E57,$A$232:$C$241,3,0))*(IF($E57=6,$W57,$O57))*((MIN((VLOOKUP($E57,$A$232:$E$241,5,0)),(IF($E57=6,$O57,$W57))))),MIN((VLOOKUP($E57,$A$232:$C$241,3,0)),($F57+$G57))*(IF($E57=6,$W57,((MIN((VLOOKUP($E57,$A$232:$E$241,5,0)),$W57)))))))))*$X57</f>
        <v>0</v>
      </c>
      <c r="AA57" s="139">
        <f t="shared" si="3"/>
        <v>0</v>
      </c>
      <c r="AB57" s="126"/>
      <c r="AC57" s="295"/>
      <c r="AD57" s="295"/>
      <c r="AF57" s="359">
        <f t="shared" si="9"/>
        <v>0</v>
      </c>
    </row>
    <row r="58" spans="1:32" s="22" customFormat="1" ht="24.75" customHeight="1" outlineLevel="1" x14ac:dyDescent="0.2">
      <c r="A58" s="177">
        <v>55</v>
      </c>
      <c r="B58" s="325"/>
      <c r="C58" s="325"/>
      <c r="D58" s="325"/>
      <c r="E58" s="326"/>
      <c r="F58" s="327"/>
      <c r="G58" s="328"/>
      <c r="H58" s="329"/>
      <c r="I58" s="329"/>
      <c r="J58" s="330"/>
      <c r="K58" s="331">
        <f>(IF(OR($B58=0,$C58=0,$D58=0),0,IF(OR($E58=0,($G58+$F58=0),$H58=0),0,MIN((VLOOKUP($E58,$A$232:$C$241,3,0))*(IF($E58=6,$I58,$H58))*((MIN((VLOOKUP($E58,$A$232:$E$241,5,0)),(IF($E58=6,$H58,$I58))))),MIN((VLOOKUP($E58,$A$232:$C$241,3,0)),($F58+$G58))*(IF($E58=6,$I58,((MIN((VLOOKUP($E58,$A$232:$E$241,5,0)),$I58)))))))))*$J58</f>
        <v>0</v>
      </c>
      <c r="L58" s="332">
        <f t="shared" si="4"/>
        <v>0</v>
      </c>
      <c r="M58" s="333">
        <f t="shared" si="5"/>
        <v>0</v>
      </c>
      <c r="N58" s="277" t="str">
        <f>IF(E58&gt;0,MIN((VLOOKUP($E58,$A$232:$C$241,3,0)),($F58+$G58)),"")</f>
        <v/>
      </c>
      <c r="O58" s="273">
        <f>IF(E58=6,(MIN(VLOOKUP($E58,$A$232:$E$241,5,0),H58)),H58)</f>
        <v>0</v>
      </c>
      <c r="P58" s="272">
        <f>IF(E58=6,I58,IF(E58&gt;0,MIN((VLOOKUP($E58,$A$232:$E$241,5,0)),(I58)),0))*(1-$T$2)</f>
        <v>0</v>
      </c>
      <c r="Q58" s="62">
        <f t="shared" si="6"/>
        <v>0</v>
      </c>
      <c r="R58" s="274" t="str">
        <f t="shared" si="7"/>
        <v/>
      </c>
      <c r="S58" s="269">
        <f>(IF(OR($B58=0,$C58=0,$D58=0),0,IF(OR($E58=0,($G58+$F58=0),$H58=0),0,MIN((VLOOKUP($E58,$A$232:$C$241,3,0))*(IF($E58=6,$P58,$O58))*((MIN((VLOOKUP($E58,$A$232:$E$241,5,0)),(IF($E58=6,$O58,$P58))))),MIN((VLOOKUP($E58,$A$232:$C$241,3,0)),($F58+$G58))*(IF($E58=6,$P58,((MIN((VLOOKUP($E58,$A$232:$E$241,5,0)),$P58)))))))))*$Q58</f>
        <v>0</v>
      </c>
      <c r="T58" s="101">
        <f t="shared" si="8"/>
        <v>0</v>
      </c>
      <c r="U58" s="122"/>
      <c r="V58" s="300"/>
      <c r="W58" s="131">
        <f t="shared" si="10"/>
        <v>0</v>
      </c>
      <c r="X58" s="62">
        <f t="shared" si="1"/>
        <v>0</v>
      </c>
      <c r="Y58" s="63" t="str">
        <f t="shared" si="2"/>
        <v/>
      </c>
      <c r="Z58" s="133">
        <f>(IF(OR($B58=0,$C58=0,$D58=0),0,IF(OR($E58=0,($G58+$F58=0),$H58=0),0,MIN((VLOOKUP($E58,$A$232:$C$241,3,0))*(IF($E58=6,$W58,$O58))*((MIN((VLOOKUP($E58,$A$232:$E$241,5,0)),(IF($E58=6,$O58,$W58))))),MIN((VLOOKUP($E58,$A$232:$C$241,3,0)),($F58+$G58))*(IF($E58=6,$W58,((MIN((VLOOKUP($E58,$A$232:$E$241,5,0)),$W58)))))))))*$X58</f>
        <v>0</v>
      </c>
      <c r="AA58" s="139">
        <f t="shared" si="3"/>
        <v>0</v>
      </c>
      <c r="AB58" s="126"/>
      <c r="AC58" s="295"/>
      <c r="AD58" s="295"/>
      <c r="AF58" s="359">
        <f t="shared" si="9"/>
        <v>0</v>
      </c>
    </row>
    <row r="59" spans="1:32" s="22" customFormat="1" ht="24.75" customHeight="1" outlineLevel="1" x14ac:dyDescent="0.2">
      <c r="A59" s="177">
        <v>56</v>
      </c>
      <c r="B59" s="325"/>
      <c r="C59" s="325"/>
      <c r="D59" s="325"/>
      <c r="E59" s="326"/>
      <c r="F59" s="327"/>
      <c r="G59" s="328"/>
      <c r="H59" s="329"/>
      <c r="I59" s="329"/>
      <c r="J59" s="330"/>
      <c r="K59" s="331">
        <f>(IF(OR($B59=0,$C59=0,$D59=0),0,IF(OR($E59=0,($G59+$F59=0),$H59=0),0,MIN((VLOOKUP($E59,$A$232:$C$241,3,0))*(IF($E59=6,$I59,$H59))*((MIN((VLOOKUP($E59,$A$232:$E$241,5,0)),(IF($E59=6,$H59,$I59))))),MIN((VLOOKUP($E59,$A$232:$C$241,3,0)),($F59+$G59))*(IF($E59=6,$I59,((MIN((VLOOKUP($E59,$A$232:$E$241,5,0)),$I59)))))))))*$J59</f>
        <v>0</v>
      </c>
      <c r="L59" s="332">
        <f t="shared" si="4"/>
        <v>0</v>
      </c>
      <c r="M59" s="333">
        <f t="shared" si="5"/>
        <v>0</v>
      </c>
      <c r="N59" s="277" t="str">
        <f>IF(E59&gt;0,MIN((VLOOKUP($E59,$A$232:$C$241,3,0)),($F59+$G59)),"")</f>
        <v/>
      </c>
      <c r="O59" s="273">
        <f>IF(E59=6,(MIN(VLOOKUP($E59,$A$232:$E$241,5,0),H59)),H59)</f>
        <v>0</v>
      </c>
      <c r="P59" s="272">
        <f>IF(E59=6,I59,IF(E59&gt;0,MIN((VLOOKUP($E59,$A$232:$E$241,5,0)),(I59)),0))*(1-$T$2)</f>
        <v>0</v>
      </c>
      <c r="Q59" s="62">
        <f t="shared" si="6"/>
        <v>0</v>
      </c>
      <c r="R59" s="274" t="str">
        <f t="shared" si="7"/>
        <v/>
      </c>
      <c r="S59" s="269">
        <f>(IF(OR($B59=0,$C59=0,$D59=0),0,IF(OR($E59=0,($G59+$F59=0),$H59=0),0,MIN((VLOOKUP($E59,$A$232:$C$241,3,0))*(IF($E59=6,$P59,$O59))*((MIN((VLOOKUP($E59,$A$232:$E$241,5,0)),(IF($E59=6,$O59,$P59))))),MIN((VLOOKUP($E59,$A$232:$C$241,3,0)),($F59+$G59))*(IF($E59=6,$P59,((MIN((VLOOKUP($E59,$A$232:$E$241,5,0)),$P59)))))))))*$Q59</f>
        <v>0</v>
      </c>
      <c r="T59" s="101">
        <f t="shared" si="8"/>
        <v>0</v>
      </c>
      <c r="U59" s="122"/>
      <c r="V59" s="300"/>
      <c r="W59" s="131">
        <f t="shared" si="10"/>
        <v>0</v>
      </c>
      <c r="X59" s="62">
        <f t="shared" si="1"/>
        <v>0</v>
      </c>
      <c r="Y59" s="63" t="str">
        <f t="shared" si="2"/>
        <v/>
      </c>
      <c r="Z59" s="133">
        <f>(IF(OR($B59=0,$C59=0,$D59=0),0,IF(OR($E59=0,($G59+$F59=0),$H59=0),0,MIN((VLOOKUP($E59,$A$232:$C$241,3,0))*(IF($E59=6,$W59,$O59))*((MIN((VLOOKUP($E59,$A$232:$E$241,5,0)),(IF($E59=6,$O59,$W59))))),MIN((VLOOKUP($E59,$A$232:$C$241,3,0)),($F59+$G59))*(IF($E59=6,$W59,((MIN((VLOOKUP($E59,$A$232:$E$241,5,0)),$W59)))))))))*$X59</f>
        <v>0</v>
      </c>
      <c r="AA59" s="139">
        <f t="shared" si="3"/>
        <v>0</v>
      </c>
      <c r="AB59" s="126"/>
      <c r="AC59" s="295"/>
      <c r="AD59" s="295"/>
      <c r="AF59" s="359">
        <f t="shared" si="9"/>
        <v>0</v>
      </c>
    </row>
    <row r="60" spans="1:32" s="22" customFormat="1" ht="24.75" customHeight="1" outlineLevel="1" x14ac:dyDescent="0.2">
      <c r="A60" s="177">
        <v>57</v>
      </c>
      <c r="B60" s="325"/>
      <c r="C60" s="325"/>
      <c r="D60" s="325"/>
      <c r="E60" s="326"/>
      <c r="F60" s="327"/>
      <c r="G60" s="328"/>
      <c r="H60" s="329"/>
      <c r="I60" s="329"/>
      <c r="J60" s="330"/>
      <c r="K60" s="331">
        <f>(IF(OR($B60=0,$C60=0,$D60=0),0,IF(OR($E60=0,($G60+$F60=0),$H60=0),0,MIN((VLOOKUP($E60,$A$232:$C$241,3,0))*(IF($E60=6,$I60,$H60))*((MIN((VLOOKUP($E60,$A$232:$E$241,5,0)),(IF($E60=6,$H60,$I60))))),MIN((VLOOKUP($E60,$A$232:$C$241,3,0)),($F60+$G60))*(IF($E60=6,$I60,((MIN((VLOOKUP($E60,$A$232:$E$241,5,0)),$I60)))))))))*$J60</f>
        <v>0</v>
      </c>
      <c r="L60" s="332">
        <f t="shared" si="4"/>
        <v>0</v>
      </c>
      <c r="M60" s="333">
        <f t="shared" si="5"/>
        <v>0</v>
      </c>
      <c r="N60" s="277" t="str">
        <f>IF(E60&gt;0,MIN((VLOOKUP($E60,$A$232:$C$241,3,0)),($F60+$G60)),"")</f>
        <v/>
      </c>
      <c r="O60" s="273">
        <f>IF(E60=6,(MIN(VLOOKUP($E60,$A$232:$E$241,5,0),H60)),H60)</f>
        <v>0</v>
      </c>
      <c r="P60" s="272">
        <f>IF(E60=6,I60,IF(E60&gt;0,MIN((VLOOKUP($E60,$A$232:$E$241,5,0)),(I60)),0))*(1-$T$2)</f>
        <v>0</v>
      </c>
      <c r="Q60" s="62">
        <f t="shared" si="6"/>
        <v>0</v>
      </c>
      <c r="R60" s="274" t="str">
        <f t="shared" si="7"/>
        <v/>
      </c>
      <c r="S60" s="269">
        <f>(IF(OR($B60=0,$C60=0,$D60=0),0,IF(OR($E60=0,($G60+$F60=0),$H60=0),0,MIN((VLOOKUP($E60,$A$232:$C$241,3,0))*(IF($E60=6,$P60,$O60))*((MIN((VLOOKUP($E60,$A$232:$E$241,5,0)),(IF($E60=6,$O60,$P60))))),MIN((VLOOKUP($E60,$A$232:$C$241,3,0)),($F60+$G60))*(IF($E60=6,$P60,((MIN((VLOOKUP($E60,$A$232:$E$241,5,0)),$P60)))))))))*$Q60</f>
        <v>0</v>
      </c>
      <c r="T60" s="101">
        <f t="shared" si="8"/>
        <v>0</v>
      </c>
      <c r="U60" s="122"/>
      <c r="V60" s="300"/>
      <c r="W60" s="131">
        <f t="shared" si="10"/>
        <v>0</v>
      </c>
      <c r="X60" s="62">
        <f t="shared" si="1"/>
        <v>0</v>
      </c>
      <c r="Y60" s="63" t="str">
        <f t="shared" si="2"/>
        <v/>
      </c>
      <c r="Z60" s="133">
        <f>(IF(OR($B60=0,$C60=0,$D60=0),0,IF(OR($E60=0,($G60+$F60=0),$H60=0),0,MIN((VLOOKUP($E60,$A$232:$C$241,3,0))*(IF($E60=6,$W60,$O60))*((MIN((VLOOKUP($E60,$A$232:$E$241,5,0)),(IF($E60=6,$O60,$W60))))),MIN((VLOOKUP($E60,$A$232:$C$241,3,0)),($F60+$G60))*(IF($E60=6,$W60,((MIN((VLOOKUP($E60,$A$232:$E$241,5,0)),$W60)))))))))*$X60</f>
        <v>0</v>
      </c>
      <c r="AA60" s="139">
        <f t="shared" si="3"/>
        <v>0</v>
      </c>
      <c r="AB60" s="126"/>
      <c r="AC60" s="295"/>
      <c r="AD60" s="295"/>
      <c r="AF60" s="359">
        <f t="shared" si="9"/>
        <v>0</v>
      </c>
    </row>
    <row r="61" spans="1:32" s="22" customFormat="1" ht="24.75" customHeight="1" outlineLevel="1" x14ac:dyDescent="0.2">
      <c r="A61" s="177">
        <v>58</v>
      </c>
      <c r="B61" s="325"/>
      <c r="C61" s="325"/>
      <c r="D61" s="325"/>
      <c r="E61" s="326"/>
      <c r="F61" s="327"/>
      <c r="G61" s="328"/>
      <c r="H61" s="329"/>
      <c r="I61" s="329"/>
      <c r="J61" s="330"/>
      <c r="K61" s="331">
        <f>(IF(OR($B61=0,$C61=0,$D61=0),0,IF(OR($E61=0,($G61+$F61=0),$H61=0),0,MIN((VLOOKUP($E61,$A$232:$C$241,3,0))*(IF($E61=6,$I61,$H61))*((MIN((VLOOKUP($E61,$A$232:$E$241,5,0)),(IF($E61=6,$H61,$I61))))),MIN((VLOOKUP($E61,$A$232:$C$241,3,0)),($F61+$G61))*(IF($E61=6,$I61,((MIN((VLOOKUP($E61,$A$232:$E$241,5,0)),$I61)))))))))*$J61</f>
        <v>0</v>
      </c>
      <c r="L61" s="332">
        <f t="shared" si="4"/>
        <v>0</v>
      </c>
      <c r="M61" s="333">
        <f t="shared" si="5"/>
        <v>0</v>
      </c>
      <c r="N61" s="277" t="str">
        <f>IF(E61&gt;0,MIN((VLOOKUP($E61,$A$232:$C$241,3,0)),($F61+$G61)),"")</f>
        <v/>
      </c>
      <c r="O61" s="273">
        <f>IF(E61=6,(MIN(VLOOKUP($E61,$A$232:$E$241,5,0),H61)),H61)</f>
        <v>0</v>
      </c>
      <c r="P61" s="272">
        <f>IF(E61=6,I61,IF(E61&gt;0,MIN((VLOOKUP($E61,$A$232:$E$241,5,0)),(I61)),0))*(1-$T$2)</f>
        <v>0</v>
      </c>
      <c r="Q61" s="62">
        <f t="shared" si="6"/>
        <v>0</v>
      </c>
      <c r="R61" s="274" t="str">
        <f t="shared" si="7"/>
        <v/>
      </c>
      <c r="S61" s="269">
        <f>(IF(OR($B61=0,$C61=0,$D61=0),0,IF(OR($E61=0,($G61+$F61=0),$H61=0),0,MIN((VLOOKUP($E61,$A$232:$C$241,3,0))*(IF($E61=6,$P61,$O61))*((MIN((VLOOKUP($E61,$A$232:$E$241,5,0)),(IF($E61=6,$O61,$P61))))),MIN((VLOOKUP($E61,$A$232:$C$241,3,0)),($F61+$G61))*(IF($E61=6,$P61,((MIN((VLOOKUP($E61,$A$232:$E$241,5,0)),$P61)))))))))*$Q61</f>
        <v>0</v>
      </c>
      <c r="T61" s="101">
        <f t="shared" si="8"/>
        <v>0</v>
      </c>
      <c r="U61" s="122"/>
      <c r="V61" s="300"/>
      <c r="W61" s="131">
        <f t="shared" si="10"/>
        <v>0</v>
      </c>
      <c r="X61" s="62">
        <f t="shared" si="1"/>
        <v>0</v>
      </c>
      <c r="Y61" s="63" t="str">
        <f t="shared" si="2"/>
        <v/>
      </c>
      <c r="Z61" s="133">
        <f>(IF(OR($B61=0,$C61=0,$D61=0),0,IF(OR($E61=0,($G61+$F61=0),$H61=0),0,MIN((VLOOKUP($E61,$A$232:$C$241,3,0))*(IF($E61=6,$W61,$O61))*((MIN((VLOOKUP($E61,$A$232:$E$241,5,0)),(IF($E61=6,$O61,$W61))))),MIN((VLOOKUP($E61,$A$232:$C$241,3,0)),($F61+$G61))*(IF($E61=6,$W61,((MIN((VLOOKUP($E61,$A$232:$E$241,5,0)),$W61)))))))))*$X61</f>
        <v>0</v>
      </c>
      <c r="AA61" s="139">
        <f t="shared" si="3"/>
        <v>0</v>
      </c>
      <c r="AB61" s="126"/>
      <c r="AC61" s="295"/>
      <c r="AD61" s="295"/>
      <c r="AF61" s="359">
        <f t="shared" si="9"/>
        <v>0</v>
      </c>
    </row>
    <row r="62" spans="1:32" s="22" customFormat="1" ht="24.75" customHeight="1" outlineLevel="1" x14ac:dyDescent="0.2">
      <c r="A62" s="177">
        <v>59</v>
      </c>
      <c r="B62" s="325"/>
      <c r="C62" s="325"/>
      <c r="D62" s="325"/>
      <c r="E62" s="326"/>
      <c r="F62" s="327"/>
      <c r="G62" s="328"/>
      <c r="H62" s="329"/>
      <c r="I62" s="329"/>
      <c r="J62" s="330"/>
      <c r="K62" s="331">
        <f>(IF(OR($B62=0,$C62=0,$D62=0),0,IF(OR($E62=0,($G62+$F62=0),$H62=0),0,MIN((VLOOKUP($E62,$A$232:$C$241,3,0))*(IF($E62=6,$I62,$H62))*((MIN((VLOOKUP($E62,$A$232:$E$241,5,0)),(IF($E62=6,$H62,$I62))))),MIN((VLOOKUP($E62,$A$232:$C$241,3,0)),($F62+$G62))*(IF($E62=6,$I62,((MIN((VLOOKUP($E62,$A$232:$E$241,5,0)),$I62)))))))))*$J62</f>
        <v>0</v>
      </c>
      <c r="L62" s="332">
        <f t="shared" si="4"/>
        <v>0</v>
      </c>
      <c r="M62" s="333">
        <f t="shared" si="5"/>
        <v>0</v>
      </c>
      <c r="N62" s="277" t="str">
        <f>IF(E62&gt;0,MIN((VLOOKUP($E62,$A$232:$C$241,3,0)),($F62+$G62)),"")</f>
        <v/>
      </c>
      <c r="O62" s="273">
        <f>IF(E62=6,(MIN(VLOOKUP($E62,$A$232:$E$241,5,0),H62)),H62)</f>
        <v>0</v>
      </c>
      <c r="P62" s="272">
        <f>IF(E62=6,I62,IF(E62&gt;0,MIN((VLOOKUP($E62,$A$232:$E$241,5,0)),(I62)),0))*(1-$T$2)</f>
        <v>0</v>
      </c>
      <c r="Q62" s="62">
        <f t="shared" si="6"/>
        <v>0</v>
      </c>
      <c r="R62" s="274" t="str">
        <f t="shared" si="7"/>
        <v/>
      </c>
      <c r="S62" s="269">
        <f>(IF(OR($B62=0,$C62=0,$D62=0),0,IF(OR($E62=0,($G62+$F62=0),$H62=0),0,MIN((VLOOKUP($E62,$A$232:$C$241,3,0))*(IF($E62=6,$P62,$O62))*((MIN((VLOOKUP($E62,$A$232:$E$241,5,0)),(IF($E62=6,$O62,$P62))))),MIN((VLOOKUP($E62,$A$232:$C$241,3,0)),($F62+$G62))*(IF($E62=6,$P62,((MIN((VLOOKUP($E62,$A$232:$E$241,5,0)),$P62)))))))))*$Q62</f>
        <v>0</v>
      </c>
      <c r="T62" s="101">
        <f t="shared" si="8"/>
        <v>0</v>
      </c>
      <c r="U62" s="122"/>
      <c r="V62" s="300"/>
      <c r="W62" s="131">
        <f t="shared" si="10"/>
        <v>0</v>
      </c>
      <c r="X62" s="62">
        <f t="shared" si="1"/>
        <v>0</v>
      </c>
      <c r="Y62" s="63" t="str">
        <f t="shared" si="2"/>
        <v/>
      </c>
      <c r="Z62" s="133">
        <f>(IF(OR($B62=0,$C62=0,$D62=0),0,IF(OR($E62=0,($G62+$F62=0),$H62=0),0,MIN((VLOOKUP($E62,$A$232:$C$241,3,0))*(IF($E62=6,$W62,$O62))*((MIN((VLOOKUP($E62,$A$232:$E$241,5,0)),(IF($E62=6,$O62,$W62))))),MIN((VLOOKUP($E62,$A$232:$C$241,3,0)),($F62+$G62))*(IF($E62=6,$W62,((MIN((VLOOKUP($E62,$A$232:$E$241,5,0)),$W62)))))))))*$X62</f>
        <v>0</v>
      </c>
      <c r="AA62" s="139">
        <f t="shared" si="3"/>
        <v>0</v>
      </c>
      <c r="AB62" s="126"/>
      <c r="AC62" s="295"/>
      <c r="AD62" s="295"/>
      <c r="AF62" s="359">
        <f t="shared" si="9"/>
        <v>0</v>
      </c>
    </row>
    <row r="63" spans="1:32" s="22" customFormat="1" ht="24.75" customHeight="1" outlineLevel="1" x14ac:dyDescent="0.2">
      <c r="A63" s="177">
        <v>60</v>
      </c>
      <c r="B63" s="325"/>
      <c r="C63" s="325"/>
      <c r="D63" s="325"/>
      <c r="E63" s="326"/>
      <c r="F63" s="327"/>
      <c r="G63" s="328"/>
      <c r="H63" s="329"/>
      <c r="I63" s="329"/>
      <c r="J63" s="330"/>
      <c r="K63" s="331">
        <f>(IF(OR($B63=0,$C63=0,$D63=0),0,IF(OR($E63=0,($G63+$F63=0),$H63=0),0,MIN((VLOOKUP($E63,$A$232:$C$241,3,0))*(IF($E63=6,$I63,$H63))*((MIN((VLOOKUP($E63,$A$232:$E$241,5,0)),(IF($E63=6,$H63,$I63))))),MIN((VLOOKUP($E63,$A$232:$C$241,3,0)),($F63+$G63))*(IF($E63=6,$I63,((MIN((VLOOKUP($E63,$A$232:$E$241,5,0)),$I63)))))))))*$J63</f>
        <v>0</v>
      </c>
      <c r="L63" s="332">
        <f t="shared" si="4"/>
        <v>0</v>
      </c>
      <c r="M63" s="333">
        <f t="shared" si="5"/>
        <v>0</v>
      </c>
      <c r="N63" s="277" t="str">
        <f>IF(E63&gt;0,MIN((VLOOKUP($E63,$A$232:$C$241,3,0)),($F63+$G63)),"")</f>
        <v/>
      </c>
      <c r="O63" s="273">
        <f>IF(E63=6,(MIN(VLOOKUP($E63,$A$232:$E$241,5,0),H63)),H63)</f>
        <v>0</v>
      </c>
      <c r="P63" s="272">
        <f>IF(E63=6,I63,IF(E63&gt;0,MIN((VLOOKUP($E63,$A$232:$E$241,5,0)),(I63)),0))*(1-$T$2)</f>
        <v>0</v>
      </c>
      <c r="Q63" s="62">
        <f t="shared" si="6"/>
        <v>0</v>
      </c>
      <c r="R63" s="274" t="str">
        <f t="shared" si="7"/>
        <v/>
      </c>
      <c r="S63" s="269">
        <f>(IF(OR($B63=0,$C63=0,$D63=0),0,IF(OR($E63=0,($G63+$F63=0),$H63=0),0,MIN((VLOOKUP($E63,$A$232:$C$241,3,0))*(IF($E63=6,$P63,$O63))*((MIN((VLOOKUP($E63,$A$232:$E$241,5,0)),(IF($E63=6,$O63,$P63))))),MIN((VLOOKUP($E63,$A$232:$C$241,3,0)),($F63+$G63))*(IF($E63=6,$P63,((MIN((VLOOKUP($E63,$A$232:$E$241,5,0)),$P63)))))))))*$Q63</f>
        <v>0</v>
      </c>
      <c r="T63" s="101">
        <f t="shared" si="8"/>
        <v>0</v>
      </c>
      <c r="U63" s="122"/>
      <c r="V63" s="300"/>
      <c r="W63" s="131">
        <f t="shared" si="10"/>
        <v>0</v>
      </c>
      <c r="X63" s="62">
        <f t="shared" si="1"/>
        <v>0</v>
      </c>
      <c r="Y63" s="63" t="str">
        <f t="shared" si="2"/>
        <v/>
      </c>
      <c r="Z63" s="133">
        <f>(IF(OR($B63=0,$C63=0,$D63=0),0,IF(OR($E63=0,($G63+$F63=0),$H63=0),0,MIN((VLOOKUP($E63,$A$232:$C$241,3,0))*(IF($E63=6,$W63,$O63))*((MIN((VLOOKUP($E63,$A$232:$E$241,5,0)),(IF($E63=6,$O63,$W63))))),MIN((VLOOKUP($E63,$A$232:$C$241,3,0)),($F63+$G63))*(IF($E63=6,$W63,((MIN((VLOOKUP($E63,$A$232:$E$241,5,0)),$W63)))))))))*$X63</f>
        <v>0</v>
      </c>
      <c r="AA63" s="139">
        <f t="shared" si="3"/>
        <v>0</v>
      </c>
      <c r="AB63" s="126"/>
      <c r="AC63" s="295"/>
      <c r="AD63" s="295"/>
      <c r="AF63" s="359">
        <f t="shared" si="9"/>
        <v>0</v>
      </c>
    </row>
    <row r="64" spans="1:32" s="22" customFormat="1" ht="24.75" customHeight="1" outlineLevel="1" x14ac:dyDescent="0.2">
      <c r="A64" s="177">
        <v>61</v>
      </c>
      <c r="B64" s="325"/>
      <c r="C64" s="325"/>
      <c r="D64" s="325"/>
      <c r="E64" s="326"/>
      <c r="F64" s="327"/>
      <c r="G64" s="328"/>
      <c r="H64" s="329"/>
      <c r="I64" s="329"/>
      <c r="J64" s="330"/>
      <c r="K64" s="331">
        <f>(IF(OR($B64=0,$C64=0,$D64=0),0,IF(OR($E64=0,($G64+$F64=0),$H64=0),0,MIN((VLOOKUP($E64,$A$232:$C$241,3,0))*(IF($E64=6,$I64,$H64))*((MIN((VLOOKUP($E64,$A$232:$E$241,5,0)),(IF($E64=6,$H64,$I64))))),MIN((VLOOKUP($E64,$A$232:$C$241,3,0)),($F64+$G64))*(IF($E64=6,$I64,((MIN((VLOOKUP($E64,$A$232:$E$241,5,0)),$I64)))))))))*$J64</f>
        <v>0</v>
      </c>
      <c r="L64" s="332">
        <f t="shared" si="4"/>
        <v>0</v>
      </c>
      <c r="M64" s="333">
        <f t="shared" si="5"/>
        <v>0</v>
      </c>
      <c r="N64" s="277" t="str">
        <f>IF(E64&gt;0,MIN((VLOOKUP($E64,$A$232:$C$241,3,0)),($F64+$G64)),"")</f>
        <v/>
      </c>
      <c r="O64" s="273">
        <f>IF(E64=6,(MIN(VLOOKUP($E64,$A$232:$E$241,5,0),H64)),H64)</f>
        <v>0</v>
      </c>
      <c r="P64" s="272">
        <f>IF(E64=6,I64,IF(E64&gt;0,MIN((VLOOKUP($E64,$A$232:$E$241,5,0)),(I64)),0))*(1-$T$2)</f>
        <v>0</v>
      </c>
      <c r="Q64" s="62">
        <f t="shared" si="6"/>
        <v>0</v>
      </c>
      <c r="R64" s="274" t="str">
        <f t="shared" si="7"/>
        <v/>
      </c>
      <c r="S64" s="269">
        <f>(IF(OR($B64=0,$C64=0,$D64=0),0,IF(OR($E64=0,($G64+$F64=0),$H64=0),0,MIN((VLOOKUP($E64,$A$232:$C$241,3,0))*(IF($E64=6,$P64,$O64))*((MIN((VLOOKUP($E64,$A$232:$E$241,5,0)),(IF($E64=6,$O64,$P64))))),MIN((VLOOKUP($E64,$A$232:$C$241,3,0)),($F64+$G64))*(IF($E64=6,$P64,((MIN((VLOOKUP($E64,$A$232:$E$241,5,0)),$P64)))))))))*$Q64</f>
        <v>0</v>
      </c>
      <c r="T64" s="101">
        <f t="shared" si="8"/>
        <v>0</v>
      </c>
      <c r="U64" s="122"/>
      <c r="V64" s="300"/>
      <c r="W64" s="131">
        <f t="shared" si="10"/>
        <v>0</v>
      </c>
      <c r="X64" s="62">
        <f t="shared" si="1"/>
        <v>0</v>
      </c>
      <c r="Y64" s="63" t="str">
        <f t="shared" si="2"/>
        <v/>
      </c>
      <c r="Z64" s="133">
        <f>(IF(OR($B64=0,$C64=0,$D64=0),0,IF(OR($E64=0,($G64+$F64=0),$H64=0),0,MIN((VLOOKUP($E64,$A$232:$C$241,3,0))*(IF($E64=6,$W64,$O64))*((MIN((VLOOKUP($E64,$A$232:$E$241,5,0)),(IF($E64=6,$O64,$W64))))),MIN((VLOOKUP($E64,$A$232:$C$241,3,0)),($F64+$G64))*(IF($E64=6,$W64,((MIN((VLOOKUP($E64,$A$232:$E$241,5,0)),$W64)))))))))*$X64</f>
        <v>0</v>
      </c>
      <c r="AA64" s="139">
        <f t="shared" si="3"/>
        <v>0</v>
      </c>
      <c r="AB64" s="126"/>
      <c r="AC64" s="295"/>
      <c r="AD64" s="295"/>
      <c r="AF64" s="359">
        <f t="shared" si="9"/>
        <v>0</v>
      </c>
    </row>
    <row r="65" spans="1:32" s="22" customFormat="1" ht="24.75" customHeight="1" outlineLevel="1" x14ac:dyDescent="0.2">
      <c r="A65" s="177">
        <v>62</v>
      </c>
      <c r="B65" s="325"/>
      <c r="C65" s="325"/>
      <c r="D65" s="325"/>
      <c r="E65" s="326"/>
      <c r="F65" s="327"/>
      <c r="G65" s="328"/>
      <c r="H65" s="329"/>
      <c r="I65" s="329"/>
      <c r="J65" s="330"/>
      <c r="K65" s="331">
        <f>(IF(OR($B65=0,$C65=0,$D65=0),0,IF(OR($E65=0,($G65+$F65=0),$H65=0),0,MIN((VLOOKUP($E65,$A$232:$C$241,3,0))*(IF($E65=6,$I65,$H65))*((MIN((VLOOKUP($E65,$A$232:$E$241,5,0)),(IF($E65=6,$H65,$I65))))),MIN((VLOOKUP($E65,$A$232:$C$241,3,0)),($F65+$G65))*(IF($E65=6,$I65,((MIN((VLOOKUP($E65,$A$232:$E$241,5,0)),$I65)))))))))*$J65</f>
        <v>0</v>
      </c>
      <c r="L65" s="332">
        <f t="shared" si="4"/>
        <v>0</v>
      </c>
      <c r="M65" s="333">
        <f t="shared" si="5"/>
        <v>0</v>
      </c>
      <c r="N65" s="277" t="str">
        <f>IF(E65&gt;0,MIN((VLOOKUP($E65,$A$232:$C$241,3,0)),($F65+$G65)),"")</f>
        <v/>
      </c>
      <c r="O65" s="273">
        <f>IF(E65=6,(MIN(VLOOKUP($E65,$A$232:$E$241,5,0),H65)),H65)</f>
        <v>0</v>
      </c>
      <c r="P65" s="272">
        <f>IF(E65=6,I65,IF(E65&gt;0,MIN((VLOOKUP($E65,$A$232:$E$241,5,0)),(I65)),0))*(1-$T$2)</f>
        <v>0</v>
      </c>
      <c r="Q65" s="62">
        <f t="shared" si="6"/>
        <v>0</v>
      </c>
      <c r="R65" s="274" t="str">
        <f t="shared" si="7"/>
        <v/>
      </c>
      <c r="S65" s="269">
        <f>(IF(OR($B65=0,$C65=0,$D65=0),0,IF(OR($E65=0,($G65+$F65=0),$H65=0),0,MIN((VLOOKUP($E65,$A$232:$C$241,3,0))*(IF($E65=6,$P65,$O65))*((MIN((VLOOKUP($E65,$A$232:$E$241,5,0)),(IF($E65=6,$O65,$P65))))),MIN((VLOOKUP($E65,$A$232:$C$241,3,0)),($F65+$G65))*(IF($E65=6,$P65,((MIN((VLOOKUP($E65,$A$232:$E$241,5,0)),$P65)))))))))*$Q65</f>
        <v>0</v>
      </c>
      <c r="T65" s="101">
        <f t="shared" si="8"/>
        <v>0</v>
      </c>
      <c r="U65" s="122"/>
      <c r="V65" s="300"/>
      <c r="W65" s="131">
        <f t="shared" si="10"/>
        <v>0</v>
      </c>
      <c r="X65" s="62">
        <f t="shared" si="1"/>
        <v>0</v>
      </c>
      <c r="Y65" s="63" t="str">
        <f t="shared" si="2"/>
        <v/>
      </c>
      <c r="Z65" s="133">
        <f>(IF(OR($B65=0,$C65=0,$D65=0),0,IF(OR($E65=0,($G65+$F65=0),$H65=0),0,MIN((VLOOKUP($E65,$A$232:$C$241,3,0))*(IF($E65=6,$W65,$O65))*((MIN((VLOOKUP($E65,$A$232:$E$241,5,0)),(IF($E65=6,$O65,$W65))))),MIN((VLOOKUP($E65,$A$232:$C$241,3,0)),($F65+$G65))*(IF($E65=6,$W65,((MIN((VLOOKUP($E65,$A$232:$E$241,5,0)),$W65)))))))))*$X65</f>
        <v>0</v>
      </c>
      <c r="AA65" s="139">
        <f t="shared" si="3"/>
        <v>0</v>
      </c>
      <c r="AB65" s="126"/>
      <c r="AC65" s="295"/>
      <c r="AD65" s="295"/>
      <c r="AF65" s="359">
        <f t="shared" si="9"/>
        <v>0</v>
      </c>
    </row>
    <row r="66" spans="1:32" s="22" customFormat="1" ht="24.75" customHeight="1" outlineLevel="1" x14ac:dyDescent="0.2">
      <c r="A66" s="177">
        <v>63</v>
      </c>
      <c r="B66" s="325"/>
      <c r="C66" s="325"/>
      <c r="D66" s="325"/>
      <c r="E66" s="326"/>
      <c r="F66" s="327"/>
      <c r="G66" s="328"/>
      <c r="H66" s="329"/>
      <c r="I66" s="329"/>
      <c r="J66" s="330"/>
      <c r="K66" s="331">
        <f>(IF(OR($B66=0,$C66=0,$D66=0),0,IF(OR($E66=0,($G66+$F66=0),$H66=0),0,MIN((VLOOKUP($E66,$A$232:$C$241,3,0))*(IF($E66=6,$I66,$H66))*((MIN((VLOOKUP($E66,$A$232:$E$241,5,0)),(IF($E66=6,$H66,$I66))))),MIN((VLOOKUP($E66,$A$232:$C$241,3,0)),($F66+$G66))*(IF($E66=6,$I66,((MIN((VLOOKUP($E66,$A$232:$E$241,5,0)),$I66)))))))))*$J66</f>
        <v>0</v>
      </c>
      <c r="L66" s="332">
        <f t="shared" si="4"/>
        <v>0</v>
      </c>
      <c r="M66" s="333">
        <f t="shared" si="5"/>
        <v>0</v>
      </c>
      <c r="N66" s="277" t="str">
        <f>IF(E66&gt;0,MIN((VLOOKUP($E66,$A$232:$C$241,3,0)),($F66+$G66)),"")</f>
        <v/>
      </c>
      <c r="O66" s="273">
        <f>IF(E66=6,(MIN(VLOOKUP($E66,$A$232:$E$241,5,0),H66)),H66)</f>
        <v>0</v>
      </c>
      <c r="P66" s="272">
        <f>IF(E66=6,I66,IF(E66&gt;0,MIN((VLOOKUP($E66,$A$232:$E$241,5,0)),(I66)),0))*(1-$T$2)</f>
        <v>0</v>
      </c>
      <c r="Q66" s="62">
        <f t="shared" si="6"/>
        <v>0</v>
      </c>
      <c r="R66" s="274" t="str">
        <f t="shared" si="7"/>
        <v/>
      </c>
      <c r="S66" s="269">
        <f>(IF(OR($B66=0,$C66=0,$D66=0),0,IF(OR($E66=0,($G66+$F66=0),$H66=0),0,MIN((VLOOKUP($E66,$A$232:$C$241,3,0))*(IF($E66=6,$P66,$O66))*((MIN((VLOOKUP($E66,$A$232:$E$241,5,0)),(IF($E66=6,$O66,$P66))))),MIN((VLOOKUP($E66,$A$232:$C$241,3,0)),($F66+$G66))*(IF($E66=6,$P66,((MIN((VLOOKUP($E66,$A$232:$E$241,5,0)),$P66)))))))))*$Q66</f>
        <v>0</v>
      </c>
      <c r="T66" s="101">
        <f t="shared" si="8"/>
        <v>0</v>
      </c>
      <c r="U66" s="122"/>
      <c r="V66" s="300"/>
      <c r="W66" s="131">
        <f t="shared" si="10"/>
        <v>0</v>
      </c>
      <c r="X66" s="62">
        <f t="shared" si="1"/>
        <v>0</v>
      </c>
      <c r="Y66" s="63" t="str">
        <f t="shared" si="2"/>
        <v/>
      </c>
      <c r="Z66" s="133">
        <f>(IF(OR($B66=0,$C66=0,$D66=0),0,IF(OR($E66=0,($G66+$F66=0),$H66=0),0,MIN((VLOOKUP($E66,$A$232:$C$241,3,0))*(IF($E66=6,$W66,$O66))*((MIN((VLOOKUP($E66,$A$232:$E$241,5,0)),(IF($E66=6,$O66,$W66))))),MIN((VLOOKUP($E66,$A$232:$C$241,3,0)),($F66+$G66))*(IF($E66=6,$W66,((MIN((VLOOKUP($E66,$A$232:$E$241,5,0)),$W66)))))))))*$X66</f>
        <v>0</v>
      </c>
      <c r="AA66" s="139">
        <f t="shared" si="3"/>
        <v>0</v>
      </c>
      <c r="AB66" s="126"/>
      <c r="AC66" s="295"/>
      <c r="AD66" s="295"/>
      <c r="AF66" s="359">
        <f t="shared" si="9"/>
        <v>0</v>
      </c>
    </row>
    <row r="67" spans="1:32" s="22" customFormat="1" ht="24.75" customHeight="1" outlineLevel="1" x14ac:dyDescent="0.2">
      <c r="A67" s="177">
        <v>64</v>
      </c>
      <c r="B67" s="325"/>
      <c r="C67" s="325"/>
      <c r="D67" s="325"/>
      <c r="E67" s="326"/>
      <c r="F67" s="327"/>
      <c r="G67" s="328"/>
      <c r="H67" s="329"/>
      <c r="I67" s="329"/>
      <c r="J67" s="330"/>
      <c r="K67" s="331">
        <f>(IF(OR($B67=0,$C67=0,$D67=0),0,IF(OR($E67=0,($G67+$F67=0),$H67=0),0,MIN((VLOOKUP($E67,$A$232:$C$241,3,0))*(IF($E67=6,$I67,$H67))*((MIN((VLOOKUP($E67,$A$232:$E$241,5,0)),(IF($E67=6,$H67,$I67))))),MIN((VLOOKUP($E67,$A$232:$C$241,3,0)),($F67+$G67))*(IF($E67=6,$I67,((MIN((VLOOKUP($E67,$A$232:$E$241,5,0)),$I67)))))))))*$J67</f>
        <v>0</v>
      </c>
      <c r="L67" s="332">
        <f t="shared" si="4"/>
        <v>0</v>
      </c>
      <c r="M67" s="333">
        <f t="shared" si="5"/>
        <v>0</v>
      </c>
      <c r="N67" s="277" t="str">
        <f>IF(E67&gt;0,MIN((VLOOKUP($E67,$A$232:$C$241,3,0)),($F67+$G67)),"")</f>
        <v/>
      </c>
      <c r="O67" s="273">
        <f>IF(E67=6,(MIN(VLOOKUP($E67,$A$232:$E$241,5,0),H67)),H67)</f>
        <v>0</v>
      </c>
      <c r="P67" s="272">
        <f>IF(E67=6,I67,IF(E67&gt;0,MIN((VLOOKUP($E67,$A$232:$E$241,5,0)),(I67)),0))*(1-$T$2)</f>
        <v>0</v>
      </c>
      <c r="Q67" s="62">
        <f t="shared" si="6"/>
        <v>0</v>
      </c>
      <c r="R67" s="274" t="str">
        <f t="shared" si="7"/>
        <v/>
      </c>
      <c r="S67" s="269">
        <f>(IF(OR($B67=0,$C67=0,$D67=0),0,IF(OR($E67=0,($G67+$F67=0),$H67=0),0,MIN((VLOOKUP($E67,$A$232:$C$241,3,0))*(IF($E67=6,$P67,$O67))*((MIN((VLOOKUP($E67,$A$232:$E$241,5,0)),(IF($E67=6,$O67,$P67))))),MIN((VLOOKUP($E67,$A$232:$C$241,3,0)),($F67+$G67))*(IF($E67=6,$P67,((MIN((VLOOKUP($E67,$A$232:$E$241,5,0)),$P67)))))))))*$Q67</f>
        <v>0</v>
      </c>
      <c r="T67" s="101">
        <f t="shared" si="8"/>
        <v>0</v>
      </c>
      <c r="U67" s="122"/>
      <c r="V67" s="300"/>
      <c r="W67" s="131">
        <f t="shared" si="10"/>
        <v>0</v>
      </c>
      <c r="X67" s="62">
        <f t="shared" si="1"/>
        <v>0</v>
      </c>
      <c r="Y67" s="63" t="str">
        <f t="shared" si="2"/>
        <v/>
      </c>
      <c r="Z67" s="133">
        <f>(IF(OR($B67=0,$C67=0,$D67=0),0,IF(OR($E67=0,($G67+$F67=0),$H67=0),0,MIN((VLOOKUP($E67,$A$232:$C$241,3,0))*(IF($E67=6,$W67,$O67))*((MIN((VLOOKUP($E67,$A$232:$E$241,5,0)),(IF($E67=6,$O67,$W67))))),MIN((VLOOKUP($E67,$A$232:$C$241,3,0)),($F67+$G67))*(IF($E67=6,$W67,((MIN((VLOOKUP($E67,$A$232:$E$241,5,0)),$W67)))))))))*$X67</f>
        <v>0</v>
      </c>
      <c r="AA67" s="139">
        <f t="shared" si="3"/>
        <v>0</v>
      </c>
      <c r="AB67" s="126"/>
      <c r="AC67" s="295"/>
      <c r="AD67" s="295"/>
      <c r="AF67" s="359">
        <f t="shared" si="9"/>
        <v>0</v>
      </c>
    </row>
    <row r="68" spans="1:32" s="22" customFormat="1" ht="24.75" customHeight="1" outlineLevel="1" x14ac:dyDescent="0.2">
      <c r="A68" s="177">
        <v>65</v>
      </c>
      <c r="B68" s="325"/>
      <c r="C68" s="325"/>
      <c r="D68" s="325"/>
      <c r="E68" s="326"/>
      <c r="F68" s="327"/>
      <c r="G68" s="328"/>
      <c r="H68" s="329"/>
      <c r="I68" s="329"/>
      <c r="J68" s="330"/>
      <c r="K68" s="331">
        <f>(IF(OR($B68=0,$C68=0,$D68=0),0,IF(OR($E68=0,($G68+$F68=0),$H68=0),0,MIN((VLOOKUP($E68,$A$232:$C$241,3,0))*(IF($E68=6,$I68,$H68))*((MIN((VLOOKUP($E68,$A$232:$E$241,5,0)),(IF($E68=6,$H68,$I68))))),MIN((VLOOKUP($E68,$A$232:$C$241,3,0)),($F68+$G68))*(IF($E68=6,$I68,((MIN((VLOOKUP($E68,$A$232:$E$241,5,0)),$I68)))))))))*$J68</f>
        <v>0</v>
      </c>
      <c r="L68" s="332">
        <f t="shared" si="4"/>
        <v>0</v>
      </c>
      <c r="M68" s="333">
        <f t="shared" si="5"/>
        <v>0</v>
      </c>
      <c r="N68" s="277" t="str">
        <f>IF(E68&gt;0,MIN((VLOOKUP($E68,$A$232:$C$241,3,0)),($F68+$G68)),"")</f>
        <v/>
      </c>
      <c r="O68" s="273">
        <f>IF(E68=6,(MIN(VLOOKUP($E68,$A$232:$E$241,5,0),H68)),H68)</f>
        <v>0</v>
      </c>
      <c r="P68" s="272">
        <f>IF(E68=6,I68,IF(E68&gt;0,MIN((VLOOKUP($E68,$A$232:$E$241,5,0)),(I68)),0))*(1-$T$2)</f>
        <v>0</v>
      </c>
      <c r="Q68" s="62">
        <f t="shared" si="6"/>
        <v>0</v>
      </c>
      <c r="R68" s="274" t="str">
        <f t="shared" si="7"/>
        <v/>
      </c>
      <c r="S68" s="269">
        <f>(IF(OR($B68=0,$C68=0,$D68=0),0,IF(OR($E68=0,($G68+$F68=0),$H68=0),0,MIN((VLOOKUP($E68,$A$232:$C$241,3,0))*(IF($E68=6,$P68,$O68))*((MIN((VLOOKUP($E68,$A$232:$E$241,5,0)),(IF($E68=6,$O68,$P68))))),MIN((VLOOKUP($E68,$A$232:$C$241,3,0)),($F68+$G68))*(IF($E68=6,$P68,((MIN((VLOOKUP($E68,$A$232:$E$241,5,0)),$P68)))))))))*$Q68</f>
        <v>0</v>
      </c>
      <c r="T68" s="101">
        <f t="shared" si="8"/>
        <v>0</v>
      </c>
      <c r="U68" s="122"/>
      <c r="V68" s="300"/>
      <c r="W68" s="131">
        <f t="shared" si="10"/>
        <v>0</v>
      </c>
      <c r="X68" s="62">
        <f t="shared" si="1"/>
        <v>0</v>
      </c>
      <c r="Y68" s="63" t="str">
        <f t="shared" ref="Y68:Y131" si="11">IF(0.1&gt;W68,(IF(W68&gt;0.00001,"עצור: אחוז תעסוקה נמוך מ-10%","")),(IF(AND($AA$2&gt;0,W68&gt;0),(IF(($AA$2*P68=W68),"קיצוץ אחיד","נא להזין נימוק")),(IF((W68-P68=0),(IF((X68-Q68=0),"","נא להזין נימוק")),"נא להזין נימוק")))))</f>
        <v/>
      </c>
      <c r="Z68" s="133">
        <f>(IF(OR($B68=0,$C68=0,$D68=0),0,IF(OR($E68=0,($G68+$F68=0),$H68=0),0,MIN((VLOOKUP($E68,$A$232:$C$241,3,0))*(IF($E68=6,$W68,$O68))*((MIN((VLOOKUP($E68,$A$232:$E$241,5,0)),(IF($E68=6,$O68,$W68))))),MIN((VLOOKUP($E68,$A$232:$C$241,3,0)),($F68+$G68))*(IF($E68=6,$W68,((MIN((VLOOKUP($E68,$A$232:$E$241,5,0)),$W68)))))))))*$X68</f>
        <v>0</v>
      </c>
      <c r="AA68" s="139">
        <f t="shared" ref="AA68:AA131" si="12">O68*W68*X68/12</f>
        <v>0</v>
      </c>
      <c r="AB68" s="126"/>
      <c r="AC68" s="295"/>
      <c r="AD68" s="295"/>
      <c r="AF68" s="359">
        <f t="shared" si="9"/>
        <v>0</v>
      </c>
    </row>
    <row r="69" spans="1:32" s="22" customFormat="1" ht="24.75" customHeight="1" outlineLevel="1" x14ac:dyDescent="0.2">
      <c r="A69" s="177">
        <v>66</v>
      </c>
      <c r="B69" s="325"/>
      <c r="C69" s="325"/>
      <c r="D69" s="325"/>
      <c r="E69" s="326"/>
      <c r="F69" s="327"/>
      <c r="G69" s="328"/>
      <c r="H69" s="329"/>
      <c r="I69" s="329"/>
      <c r="J69" s="330"/>
      <c r="K69" s="331">
        <f>(IF(OR($B69=0,$C69=0,$D69=0),0,IF(OR($E69=0,($G69+$F69=0),$H69=0),0,MIN((VLOOKUP($E69,$A$232:$C$241,3,0))*(IF($E69=6,$I69,$H69))*((MIN((VLOOKUP($E69,$A$232:$E$241,5,0)),(IF($E69=6,$H69,$I69))))),MIN((VLOOKUP($E69,$A$232:$C$241,3,0)),($F69+$G69))*(IF($E69=6,$I69,((MIN((VLOOKUP($E69,$A$232:$E$241,5,0)),$I69)))))))))*$J69</f>
        <v>0</v>
      </c>
      <c r="L69" s="332">
        <f t="shared" ref="L69:L132" si="13">J69*I69*H69/12</f>
        <v>0</v>
      </c>
      <c r="M69" s="333">
        <f t="shared" ref="M69:M132" si="14">(F69+G69)*J69</f>
        <v>0</v>
      </c>
      <c r="N69" s="277" t="str">
        <f>IF(E69&gt;0,MIN((VLOOKUP($E69,$A$232:$C$241,3,0)),($F69+$G69)),"")</f>
        <v/>
      </c>
      <c r="O69" s="273">
        <f>IF(E69=6,(MIN(VLOOKUP($E69,$A$232:$E$241,5,0),H69)),H69)</f>
        <v>0</v>
      </c>
      <c r="P69" s="272">
        <f>IF(E69=6,I69,IF(E69&gt;0,MIN((VLOOKUP($E69,$A$232:$E$241,5,0)),(I69)),0))*(1-$T$2)</f>
        <v>0</v>
      </c>
      <c r="Q69" s="62">
        <f t="shared" ref="Q69:Q132" si="15">J69</f>
        <v>0</v>
      </c>
      <c r="R69" s="274" t="str">
        <f t="shared" ref="R69:R132" si="16">IF(AND(E69=6,O69&lt;H69,H69&gt;0.333333),"סגל אקדמי: משרה עד-33%",IF( 0.1&gt;P69,(IF(P69&gt;0.00001,"עצור: אחוז תעסוקה נמוך מ-10%","")),(IF(AND($T$2&gt;0,$T$2&lt;1,P69&gt;0),(IF(($T$2*I69=P69),"קיצוץ אחיד","נא להזין נימוק")),(IF((P69-I69=0),(IF((Q69-J69=0),"","נא להזין נימוק")),"נא להזין נימוק"))))))</f>
        <v/>
      </c>
      <c r="S69" s="269">
        <f>(IF(OR($B69=0,$C69=0,$D69=0),0,IF(OR($E69=0,($G69+$F69=0),$H69=0),0,MIN((VLOOKUP($E69,$A$232:$C$241,3,0))*(IF($E69=6,$P69,$O69))*((MIN((VLOOKUP($E69,$A$232:$E$241,5,0)),(IF($E69=6,$O69,$P69))))),MIN((VLOOKUP($E69,$A$232:$C$241,3,0)),($F69+$G69))*(IF($E69=6,$P69,((MIN((VLOOKUP($E69,$A$232:$E$241,5,0)),$P69)))))))))*$Q69</f>
        <v>0</v>
      </c>
      <c r="T69" s="101">
        <f t="shared" ref="T69:T132" si="17">O69*P69*Q69/12</f>
        <v>0</v>
      </c>
      <c r="U69" s="122"/>
      <c r="V69" s="300"/>
      <c r="W69" s="131">
        <f t="shared" si="10"/>
        <v>0</v>
      </c>
      <c r="X69" s="62">
        <f t="shared" ref="X69:X132" si="18">Q69</f>
        <v>0</v>
      </c>
      <c r="Y69" s="63" t="str">
        <f t="shared" si="11"/>
        <v/>
      </c>
      <c r="Z69" s="133">
        <f>(IF(OR($B69=0,$C69=0,$D69=0),0,IF(OR($E69=0,($G69+$F69=0),$H69=0),0,MIN((VLOOKUP($E69,$A$232:$C$241,3,0))*(IF($E69=6,$W69,$O69))*((MIN((VLOOKUP($E69,$A$232:$E$241,5,0)),(IF($E69=6,$O69,$W69))))),MIN((VLOOKUP($E69,$A$232:$C$241,3,0)),($F69+$G69))*(IF($E69=6,$W69,((MIN((VLOOKUP($E69,$A$232:$E$241,5,0)),$W69)))))))))*$X69</f>
        <v>0</v>
      </c>
      <c r="AA69" s="139">
        <f t="shared" si="12"/>
        <v>0</v>
      </c>
      <c r="AB69" s="126"/>
      <c r="AC69" s="295"/>
      <c r="AD69" s="295"/>
      <c r="AF69" s="359">
        <f t="shared" ref="AF69:AF132" si="19">+F69+G69</f>
        <v>0</v>
      </c>
    </row>
    <row r="70" spans="1:32" s="22" customFormat="1" ht="24.75" customHeight="1" outlineLevel="1" x14ac:dyDescent="0.2">
      <c r="A70" s="177">
        <v>67</v>
      </c>
      <c r="B70" s="325"/>
      <c r="C70" s="325"/>
      <c r="D70" s="325"/>
      <c r="E70" s="326"/>
      <c r="F70" s="327"/>
      <c r="G70" s="328"/>
      <c r="H70" s="329"/>
      <c r="I70" s="329"/>
      <c r="J70" s="330"/>
      <c r="K70" s="331">
        <f>(IF(OR($B70=0,$C70=0,$D70=0),0,IF(OR($E70=0,($G70+$F70=0),$H70=0),0,MIN((VLOOKUP($E70,$A$232:$C$241,3,0))*(IF($E70=6,$I70,$H70))*((MIN((VLOOKUP($E70,$A$232:$E$241,5,0)),(IF($E70=6,$H70,$I70))))),MIN((VLOOKUP($E70,$A$232:$C$241,3,0)),($F70+$G70))*(IF($E70=6,$I70,((MIN((VLOOKUP($E70,$A$232:$E$241,5,0)),$I70)))))))))*$J70</f>
        <v>0</v>
      </c>
      <c r="L70" s="332">
        <f t="shared" si="13"/>
        <v>0</v>
      </c>
      <c r="M70" s="333">
        <f t="shared" si="14"/>
        <v>0</v>
      </c>
      <c r="N70" s="277" t="str">
        <f>IF(E70&gt;0,MIN((VLOOKUP($E70,$A$232:$C$241,3,0)),($F70+$G70)),"")</f>
        <v/>
      </c>
      <c r="O70" s="273">
        <f>IF(E70=6,(MIN(VLOOKUP($E70,$A$232:$E$241,5,0),H70)),H70)</f>
        <v>0</v>
      </c>
      <c r="P70" s="272">
        <f>IF(E70=6,I70,IF(E70&gt;0,MIN((VLOOKUP($E70,$A$232:$E$241,5,0)),(I70)),0))*(1-$T$2)</f>
        <v>0</v>
      </c>
      <c r="Q70" s="62">
        <f t="shared" si="15"/>
        <v>0</v>
      </c>
      <c r="R70" s="274" t="str">
        <f t="shared" si="16"/>
        <v/>
      </c>
      <c r="S70" s="269">
        <f>(IF(OR($B70=0,$C70=0,$D70=0),0,IF(OR($E70=0,($G70+$F70=0),$H70=0),0,MIN((VLOOKUP($E70,$A$232:$C$241,3,0))*(IF($E70=6,$P70,$O70))*((MIN((VLOOKUP($E70,$A$232:$E$241,5,0)),(IF($E70=6,$O70,$P70))))),MIN((VLOOKUP($E70,$A$232:$C$241,3,0)),($F70+$G70))*(IF($E70=6,$P70,((MIN((VLOOKUP($E70,$A$232:$E$241,5,0)),$P70)))))))))*$Q70</f>
        <v>0</v>
      </c>
      <c r="T70" s="101">
        <f t="shared" si="17"/>
        <v>0</v>
      </c>
      <c r="U70" s="122"/>
      <c r="V70" s="300"/>
      <c r="W70" s="131">
        <f t="shared" si="10"/>
        <v>0</v>
      </c>
      <c r="X70" s="62">
        <f t="shared" si="18"/>
        <v>0</v>
      </c>
      <c r="Y70" s="63" t="str">
        <f t="shared" si="11"/>
        <v/>
      </c>
      <c r="Z70" s="133">
        <f>(IF(OR($B70=0,$C70=0,$D70=0),0,IF(OR($E70=0,($G70+$F70=0),$H70=0),0,MIN((VLOOKUP($E70,$A$232:$C$241,3,0))*(IF($E70=6,$W70,$O70))*((MIN((VLOOKUP($E70,$A$232:$E$241,5,0)),(IF($E70=6,$O70,$W70))))),MIN((VLOOKUP($E70,$A$232:$C$241,3,0)),($F70+$G70))*(IF($E70=6,$W70,((MIN((VLOOKUP($E70,$A$232:$E$241,5,0)),$W70)))))))))*$X70</f>
        <v>0</v>
      </c>
      <c r="AA70" s="139">
        <f t="shared" si="12"/>
        <v>0</v>
      </c>
      <c r="AB70" s="126"/>
      <c r="AC70" s="295"/>
      <c r="AD70" s="295"/>
      <c r="AF70" s="359">
        <f t="shared" si="19"/>
        <v>0</v>
      </c>
    </row>
    <row r="71" spans="1:32" s="22" customFormat="1" ht="24.75" customHeight="1" outlineLevel="1" x14ac:dyDescent="0.2">
      <c r="A71" s="177">
        <v>68</v>
      </c>
      <c r="B71" s="325"/>
      <c r="C71" s="325"/>
      <c r="D71" s="325"/>
      <c r="E71" s="326"/>
      <c r="F71" s="327"/>
      <c r="G71" s="328"/>
      <c r="H71" s="329"/>
      <c r="I71" s="329"/>
      <c r="J71" s="330"/>
      <c r="K71" s="331">
        <f>(IF(OR($B71=0,$C71=0,$D71=0),0,IF(OR($E71=0,($G71+$F71=0),$H71=0),0,MIN((VLOOKUP($E71,$A$232:$C$241,3,0))*(IF($E71=6,$I71,$H71))*((MIN((VLOOKUP($E71,$A$232:$E$241,5,0)),(IF($E71=6,$H71,$I71))))),MIN((VLOOKUP($E71,$A$232:$C$241,3,0)),($F71+$G71))*(IF($E71=6,$I71,((MIN((VLOOKUP($E71,$A$232:$E$241,5,0)),$I71)))))))))*$J71</f>
        <v>0</v>
      </c>
      <c r="L71" s="332">
        <f t="shared" si="13"/>
        <v>0</v>
      </c>
      <c r="M71" s="333">
        <f t="shared" si="14"/>
        <v>0</v>
      </c>
      <c r="N71" s="277" t="str">
        <f>IF(E71&gt;0,MIN((VLOOKUP($E71,$A$232:$C$241,3,0)),($F71+$G71)),"")</f>
        <v/>
      </c>
      <c r="O71" s="273">
        <f>IF(E71=6,(MIN(VLOOKUP($E71,$A$232:$E$241,5,0),H71)),H71)</f>
        <v>0</v>
      </c>
      <c r="P71" s="272">
        <f>IF(E71=6,I71,IF(E71&gt;0,MIN((VLOOKUP($E71,$A$232:$E$241,5,0)),(I71)),0))*(1-$T$2)</f>
        <v>0</v>
      </c>
      <c r="Q71" s="62">
        <f t="shared" si="15"/>
        <v>0</v>
      </c>
      <c r="R71" s="274" t="str">
        <f t="shared" si="16"/>
        <v/>
      </c>
      <c r="S71" s="269">
        <f>(IF(OR($B71=0,$C71=0,$D71=0),0,IF(OR($E71=0,($G71+$F71=0),$H71=0),0,MIN((VLOOKUP($E71,$A$232:$C$241,3,0))*(IF($E71=6,$P71,$O71))*((MIN((VLOOKUP($E71,$A$232:$E$241,5,0)),(IF($E71=6,$O71,$P71))))),MIN((VLOOKUP($E71,$A$232:$C$241,3,0)),($F71+$G71))*(IF($E71=6,$P71,((MIN((VLOOKUP($E71,$A$232:$E$241,5,0)),$P71)))))))))*$Q71</f>
        <v>0</v>
      </c>
      <c r="T71" s="101">
        <f t="shared" si="17"/>
        <v>0</v>
      </c>
      <c r="U71" s="122"/>
      <c r="V71" s="300"/>
      <c r="W71" s="131">
        <f t="shared" si="10"/>
        <v>0</v>
      </c>
      <c r="X71" s="62">
        <f t="shared" si="18"/>
        <v>0</v>
      </c>
      <c r="Y71" s="63" t="str">
        <f t="shared" si="11"/>
        <v/>
      </c>
      <c r="Z71" s="133">
        <f>(IF(OR($B71=0,$C71=0,$D71=0),0,IF(OR($E71=0,($G71+$F71=0),$H71=0),0,MIN((VLOOKUP($E71,$A$232:$C$241,3,0))*(IF($E71=6,$W71,$O71))*((MIN((VLOOKUP($E71,$A$232:$E$241,5,0)),(IF($E71=6,$O71,$W71))))),MIN((VLOOKUP($E71,$A$232:$C$241,3,0)),($F71+$G71))*(IF($E71=6,$W71,((MIN((VLOOKUP($E71,$A$232:$E$241,5,0)),$W71)))))))))*$X71</f>
        <v>0</v>
      </c>
      <c r="AA71" s="139">
        <f t="shared" si="12"/>
        <v>0</v>
      </c>
      <c r="AB71" s="126"/>
      <c r="AC71" s="295"/>
      <c r="AD71" s="295"/>
      <c r="AF71" s="359">
        <f t="shared" si="19"/>
        <v>0</v>
      </c>
    </row>
    <row r="72" spans="1:32" s="22" customFormat="1" ht="24.75" customHeight="1" outlineLevel="1" x14ac:dyDescent="0.2">
      <c r="A72" s="177">
        <v>69</v>
      </c>
      <c r="B72" s="325"/>
      <c r="C72" s="325"/>
      <c r="D72" s="325"/>
      <c r="E72" s="326"/>
      <c r="F72" s="327"/>
      <c r="G72" s="328"/>
      <c r="H72" s="329"/>
      <c r="I72" s="329"/>
      <c r="J72" s="330"/>
      <c r="K72" s="331">
        <f>(IF(OR($B72=0,$C72=0,$D72=0),0,IF(OR($E72=0,($G72+$F72=0),$H72=0),0,MIN((VLOOKUP($E72,$A$232:$C$241,3,0))*(IF($E72=6,$I72,$H72))*((MIN((VLOOKUP($E72,$A$232:$E$241,5,0)),(IF($E72=6,$H72,$I72))))),MIN((VLOOKUP($E72,$A$232:$C$241,3,0)),($F72+$G72))*(IF($E72=6,$I72,((MIN((VLOOKUP($E72,$A$232:$E$241,5,0)),$I72)))))))))*$J72</f>
        <v>0</v>
      </c>
      <c r="L72" s="332">
        <f t="shared" si="13"/>
        <v>0</v>
      </c>
      <c r="M72" s="333">
        <f t="shared" si="14"/>
        <v>0</v>
      </c>
      <c r="N72" s="277" t="str">
        <f>IF(E72&gt;0,MIN((VLOOKUP($E72,$A$232:$C$241,3,0)),($F72+$G72)),"")</f>
        <v/>
      </c>
      <c r="O72" s="273">
        <f>IF(E72=6,(MIN(VLOOKUP($E72,$A$232:$E$241,5,0),H72)),H72)</f>
        <v>0</v>
      </c>
      <c r="P72" s="272">
        <f>IF(E72=6,I72,IF(E72&gt;0,MIN((VLOOKUP($E72,$A$232:$E$241,5,0)),(I72)),0))*(1-$T$2)</f>
        <v>0</v>
      </c>
      <c r="Q72" s="62">
        <f t="shared" si="15"/>
        <v>0</v>
      </c>
      <c r="R72" s="274" t="str">
        <f t="shared" si="16"/>
        <v/>
      </c>
      <c r="S72" s="269">
        <f>(IF(OR($B72=0,$C72=0,$D72=0),0,IF(OR($E72=0,($G72+$F72=0),$H72=0),0,MIN((VLOOKUP($E72,$A$232:$C$241,3,0))*(IF($E72=6,$P72,$O72))*((MIN((VLOOKUP($E72,$A$232:$E$241,5,0)),(IF($E72=6,$O72,$P72))))),MIN((VLOOKUP($E72,$A$232:$C$241,3,0)),($F72+$G72))*(IF($E72=6,$P72,((MIN((VLOOKUP($E72,$A$232:$E$241,5,0)),$P72)))))))))*$Q72</f>
        <v>0</v>
      </c>
      <c r="T72" s="101">
        <f t="shared" si="17"/>
        <v>0</v>
      </c>
      <c r="U72" s="122"/>
      <c r="V72" s="300"/>
      <c r="W72" s="131">
        <f t="shared" si="10"/>
        <v>0</v>
      </c>
      <c r="X72" s="62">
        <f t="shared" si="18"/>
        <v>0</v>
      </c>
      <c r="Y72" s="63" t="str">
        <f t="shared" si="11"/>
        <v/>
      </c>
      <c r="Z72" s="133">
        <f>(IF(OR($B72=0,$C72=0,$D72=0),0,IF(OR($E72=0,($G72+$F72=0),$H72=0),0,MIN((VLOOKUP($E72,$A$232:$C$241,3,0))*(IF($E72=6,$W72,$O72))*((MIN((VLOOKUP($E72,$A$232:$E$241,5,0)),(IF($E72=6,$O72,$W72))))),MIN((VLOOKUP($E72,$A$232:$C$241,3,0)),($F72+$G72))*(IF($E72=6,$W72,((MIN((VLOOKUP($E72,$A$232:$E$241,5,0)),$W72)))))))))*$X72</f>
        <v>0</v>
      </c>
      <c r="AA72" s="139">
        <f t="shared" si="12"/>
        <v>0</v>
      </c>
      <c r="AB72" s="126"/>
      <c r="AC72" s="295"/>
      <c r="AD72" s="295"/>
      <c r="AF72" s="359">
        <f t="shared" si="19"/>
        <v>0</v>
      </c>
    </row>
    <row r="73" spans="1:32" s="22" customFormat="1" ht="24.75" customHeight="1" outlineLevel="1" x14ac:dyDescent="0.2">
      <c r="A73" s="177">
        <v>70</v>
      </c>
      <c r="B73" s="325"/>
      <c r="C73" s="325"/>
      <c r="D73" s="325"/>
      <c r="E73" s="326"/>
      <c r="F73" s="327"/>
      <c r="G73" s="328"/>
      <c r="H73" s="329"/>
      <c r="I73" s="329"/>
      <c r="J73" s="330"/>
      <c r="K73" s="331">
        <f>(IF(OR($B73=0,$C73=0,$D73=0),0,IF(OR($E73=0,($G73+$F73=0),$H73=0),0,MIN((VLOOKUP($E73,$A$232:$C$241,3,0))*(IF($E73=6,$I73,$H73))*((MIN((VLOOKUP($E73,$A$232:$E$241,5,0)),(IF($E73=6,$H73,$I73))))),MIN((VLOOKUP($E73,$A$232:$C$241,3,0)),($F73+$G73))*(IF($E73=6,$I73,((MIN((VLOOKUP($E73,$A$232:$E$241,5,0)),$I73)))))))))*$J73</f>
        <v>0</v>
      </c>
      <c r="L73" s="332">
        <f t="shared" si="13"/>
        <v>0</v>
      </c>
      <c r="M73" s="333">
        <f t="shared" si="14"/>
        <v>0</v>
      </c>
      <c r="N73" s="277" t="str">
        <f>IF(E73&gt;0,MIN((VLOOKUP($E73,$A$232:$C$241,3,0)),($F73+$G73)),"")</f>
        <v/>
      </c>
      <c r="O73" s="273">
        <f>IF(E73=6,(MIN(VLOOKUP($E73,$A$232:$E$241,5,0),H73)),H73)</f>
        <v>0</v>
      </c>
      <c r="P73" s="272">
        <f>IF(E73=6,I73,IF(E73&gt;0,MIN((VLOOKUP($E73,$A$232:$E$241,5,0)),(I73)),0))*(1-$T$2)</f>
        <v>0</v>
      </c>
      <c r="Q73" s="62">
        <f t="shared" si="15"/>
        <v>0</v>
      </c>
      <c r="R73" s="274" t="str">
        <f t="shared" si="16"/>
        <v/>
      </c>
      <c r="S73" s="269">
        <f>(IF(OR($B73=0,$C73=0,$D73=0),0,IF(OR($E73=0,($G73+$F73=0),$H73=0),0,MIN((VLOOKUP($E73,$A$232:$C$241,3,0))*(IF($E73=6,$P73,$O73))*((MIN((VLOOKUP($E73,$A$232:$E$241,5,0)),(IF($E73=6,$O73,$P73))))),MIN((VLOOKUP($E73,$A$232:$C$241,3,0)),($F73+$G73))*(IF($E73=6,$P73,((MIN((VLOOKUP($E73,$A$232:$E$241,5,0)),$P73)))))))))*$Q73</f>
        <v>0</v>
      </c>
      <c r="T73" s="101">
        <f t="shared" si="17"/>
        <v>0</v>
      </c>
      <c r="U73" s="122"/>
      <c r="V73" s="300"/>
      <c r="W73" s="131">
        <f t="shared" si="10"/>
        <v>0</v>
      </c>
      <c r="X73" s="62">
        <f t="shared" si="18"/>
        <v>0</v>
      </c>
      <c r="Y73" s="63" t="str">
        <f t="shared" si="11"/>
        <v/>
      </c>
      <c r="Z73" s="133">
        <f>(IF(OR($B73=0,$C73=0,$D73=0),0,IF(OR($E73=0,($G73+$F73=0),$H73=0),0,MIN((VLOOKUP($E73,$A$232:$C$241,3,0))*(IF($E73=6,$W73,$O73))*((MIN((VLOOKUP($E73,$A$232:$E$241,5,0)),(IF($E73=6,$O73,$W73))))),MIN((VLOOKUP($E73,$A$232:$C$241,3,0)),($F73+$G73))*(IF($E73=6,$W73,((MIN((VLOOKUP($E73,$A$232:$E$241,5,0)),$W73)))))))))*$X73</f>
        <v>0</v>
      </c>
      <c r="AA73" s="139">
        <f t="shared" si="12"/>
        <v>0</v>
      </c>
      <c r="AB73" s="126"/>
      <c r="AC73" s="295"/>
      <c r="AD73" s="295"/>
      <c r="AF73" s="359">
        <f t="shared" si="19"/>
        <v>0</v>
      </c>
    </row>
    <row r="74" spans="1:32" s="22" customFormat="1" ht="24.75" customHeight="1" outlineLevel="1" x14ac:dyDescent="0.2">
      <c r="A74" s="177">
        <v>71</v>
      </c>
      <c r="B74" s="325"/>
      <c r="C74" s="325"/>
      <c r="D74" s="325"/>
      <c r="E74" s="326"/>
      <c r="F74" s="327"/>
      <c r="G74" s="328"/>
      <c r="H74" s="329"/>
      <c r="I74" s="329"/>
      <c r="J74" s="330"/>
      <c r="K74" s="331">
        <f>(IF(OR($B74=0,$C74=0,$D74=0),0,IF(OR($E74=0,($G74+$F74=0),$H74=0),0,MIN((VLOOKUP($E74,$A$232:$C$241,3,0))*(IF($E74=6,$I74,$H74))*((MIN((VLOOKUP($E74,$A$232:$E$241,5,0)),(IF($E74=6,$H74,$I74))))),MIN((VLOOKUP($E74,$A$232:$C$241,3,0)),($F74+$G74))*(IF($E74=6,$I74,((MIN((VLOOKUP($E74,$A$232:$E$241,5,0)),$I74)))))))))*$J74</f>
        <v>0</v>
      </c>
      <c r="L74" s="332">
        <f t="shared" si="13"/>
        <v>0</v>
      </c>
      <c r="M74" s="333">
        <f t="shared" si="14"/>
        <v>0</v>
      </c>
      <c r="N74" s="277" t="str">
        <f>IF(E74&gt;0,MIN((VLOOKUP($E74,$A$232:$C$241,3,0)),($F74+$G74)),"")</f>
        <v/>
      </c>
      <c r="O74" s="273">
        <f>IF(E74=6,(MIN(VLOOKUP($E74,$A$232:$E$241,5,0),H74)),H74)</f>
        <v>0</v>
      </c>
      <c r="P74" s="272">
        <f>IF(E74=6,I74,IF(E74&gt;0,MIN((VLOOKUP($E74,$A$232:$E$241,5,0)),(I74)),0))*(1-$T$2)</f>
        <v>0</v>
      </c>
      <c r="Q74" s="62">
        <f t="shared" si="15"/>
        <v>0</v>
      </c>
      <c r="R74" s="274" t="str">
        <f t="shared" si="16"/>
        <v/>
      </c>
      <c r="S74" s="269">
        <f>(IF(OR($B74=0,$C74=0,$D74=0),0,IF(OR($E74=0,($G74+$F74=0),$H74=0),0,MIN((VLOOKUP($E74,$A$232:$C$241,3,0))*(IF($E74=6,$P74,$O74))*((MIN((VLOOKUP($E74,$A$232:$E$241,5,0)),(IF($E74=6,$O74,$P74))))),MIN((VLOOKUP($E74,$A$232:$C$241,3,0)),($F74+$G74))*(IF($E74=6,$P74,((MIN((VLOOKUP($E74,$A$232:$E$241,5,0)),$P74)))))))))*$Q74</f>
        <v>0</v>
      </c>
      <c r="T74" s="101">
        <f t="shared" si="17"/>
        <v>0</v>
      </c>
      <c r="U74" s="122"/>
      <c r="V74" s="300"/>
      <c r="W74" s="131">
        <f t="shared" si="10"/>
        <v>0</v>
      </c>
      <c r="X74" s="62">
        <f t="shared" si="18"/>
        <v>0</v>
      </c>
      <c r="Y74" s="63" t="str">
        <f t="shared" si="11"/>
        <v/>
      </c>
      <c r="Z74" s="133">
        <f>(IF(OR($B74=0,$C74=0,$D74=0),0,IF(OR($E74=0,($G74+$F74=0),$H74=0),0,MIN((VLOOKUP($E74,$A$232:$C$241,3,0))*(IF($E74=6,$W74,$O74))*((MIN((VLOOKUP($E74,$A$232:$E$241,5,0)),(IF($E74=6,$O74,$W74))))),MIN((VLOOKUP($E74,$A$232:$C$241,3,0)),($F74+$G74))*(IF($E74=6,$W74,((MIN((VLOOKUP($E74,$A$232:$E$241,5,0)),$W74)))))))))*$X74</f>
        <v>0</v>
      </c>
      <c r="AA74" s="139">
        <f t="shared" si="12"/>
        <v>0</v>
      </c>
      <c r="AB74" s="126"/>
      <c r="AC74" s="295"/>
      <c r="AD74" s="295"/>
      <c r="AF74" s="359">
        <f t="shared" si="19"/>
        <v>0</v>
      </c>
    </row>
    <row r="75" spans="1:32" s="22" customFormat="1" ht="24.75" customHeight="1" outlineLevel="1" x14ac:dyDescent="0.2">
      <c r="A75" s="177">
        <v>72</v>
      </c>
      <c r="B75" s="325"/>
      <c r="C75" s="325"/>
      <c r="D75" s="325"/>
      <c r="E75" s="326"/>
      <c r="F75" s="327"/>
      <c r="G75" s="328"/>
      <c r="H75" s="329"/>
      <c r="I75" s="329"/>
      <c r="J75" s="330"/>
      <c r="K75" s="331">
        <f>(IF(OR($B75=0,$C75=0,$D75=0),0,IF(OR($E75=0,($G75+$F75=0),$H75=0),0,MIN((VLOOKUP($E75,$A$232:$C$241,3,0))*(IF($E75=6,$I75,$H75))*((MIN((VLOOKUP($E75,$A$232:$E$241,5,0)),(IF($E75=6,$H75,$I75))))),MIN((VLOOKUP($E75,$A$232:$C$241,3,0)),($F75+$G75))*(IF($E75=6,$I75,((MIN((VLOOKUP($E75,$A$232:$E$241,5,0)),$I75)))))))))*$J75</f>
        <v>0</v>
      </c>
      <c r="L75" s="332">
        <f t="shared" si="13"/>
        <v>0</v>
      </c>
      <c r="M75" s="333">
        <f t="shared" si="14"/>
        <v>0</v>
      </c>
      <c r="N75" s="277" t="str">
        <f>IF(E75&gt;0,MIN((VLOOKUP($E75,$A$232:$C$241,3,0)),($F75+$G75)),"")</f>
        <v/>
      </c>
      <c r="O75" s="273">
        <f>IF(E75=6,(MIN(VLOOKUP($E75,$A$232:$E$241,5,0),H75)),H75)</f>
        <v>0</v>
      </c>
      <c r="P75" s="272">
        <f>IF(E75=6,I75,IF(E75&gt;0,MIN((VLOOKUP($E75,$A$232:$E$241,5,0)),(I75)),0))*(1-$T$2)</f>
        <v>0</v>
      </c>
      <c r="Q75" s="62">
        <f t="shared" si="15"/>
        <v>0</v>
      </c>
      <c r="R75" s="274" t="str">
        <f t="shared" si="16"/>
        <v/>
      </c>
      <c r="S75" s="269">
        <f>(IF(OR($B75=0,$C75=0,$D75=0),0,IF(OR($E75=0,($G75+$F75=0),$H75=0),0,MIN((VLOOKUP($E75,$A$232:$C$241,3,0))*(IF($E75=6,$P75,$O75))*((MIN((VLOOKUP($E75,$A$232:$E$241,5,0)),(IF($E75=6,$O75,$P75))))),MIN((VLOOKUP($E75,$A$232:$C$241,3,0)),($F75+$G75))*(IF($E75=6,$P75,((MIN((VLOOKUP($E75,$A$232:$E$241,5,0)),$P75)))))))))*$Q75</f>
        <v>0</v>
      </c>
      <c r="T75" s="101">
        <f t="shared" si="17"/>
        <v>0</v>
      </c>
      <c r="U75" s="122"/>
      <c r="V75" s="300"/>
      <c r="W75" s="131">
        <f t="shared" si="10"/>
        <v>0</v>
      </c>
      <c r="X75" s="62">
        <f t="shared" si="18"/>
        <v>0</v>
      </c>
      <c r="Y75" s="63" t="str">
        <f t="shared" si="11"/>
        <v/>
      </c>
      <c r="Z75" s="133">
        <f>(IF(OR($B75=0,$C75=0,$D75=0),0,IF(OR($E75=0,($G75+$F75=0),$H75=0),0,MIN((VLOOKUP($E75,$A$232:$C$241,3,0))*(IF($E75=6,$W75,$O75))*((MIN((VLOOKUP($E75,$A$232:$E$241,5,0)),(IF($E75=6,$O75,$W75))))),MIN((VLOOKUP($E75,$A$232:$C$241,3,0)),($F75+$G75))*(IF($E75=6,$W75,((MIN((VLOOKUP($E75,$A$232:$E$241,5,0)),$W75)))))))))*$X75</f>
        <v>0</v>
      </c>
      <c r="AA75" s="139">
        <f t="shared" si="12"/>
        <v>0</v>
      </c>
      <c r="AB75" s="126"/>
      <c r="AC75" s="295"/>
      <c r="AD75" s="295"/>
      <c r="AF75" s="359">
        <f t="shared" si="19"/>
        <v>0</v>
      </c>
    </row>
    <row r="76" spans="1:32" s="22" customFormat="1" ht="24.75" customHeight="1" outlineLevel="1" x14ac:dyDescent="0.2">
      <c r="A76" s="177">
        <v>73</v>
      </c>
      <c r="B76" s="325"/>
      <c r="C76" s="325"/>
      <c r="D76" s="325"/>
      <c r="E76" s="326"/>
      <c r="F76" s="327"/>
      <c r="G76" s="328"/>
      <c r="H76" s="329"/>
      <c r="I76" s="329"/>
      <c r="J76" s="330"/>
      <c r="K76" s="331">
        <f>(IF(OR($B76=0,$C76=0,$D76=0),0,IF(OR($E76=0,($G76+$F76=0),$H76=0),0,MIN((VLOOKUP($E76,$A$232:$C$241,3,0))*(IF($E76=6,$I76,$H76))*((MIN((VLOOKUP($E76,$A$232:$E$241,5,0)),(IF($E76=6,$H76,$I76))))),MIN((VLOOKUP($E76,$A$232:$C$241,3,0)),($F76+$G76))*(IF($E76=6,$I76,((MIN((VLOOKUP($E76,$A$232:$E$241,5,0)),$I76)))))))))*$J76</f>
        <v>0</v>
      </c>
      <c r="L76" s="332">
        <f t="shared" si="13"/>
        <v>0</v>
      </c>
      <c r="M76" s="333">
        <f t="shared" si="14"/>
        <v>0</v>
      </c>
      <c r="N76" s="277" t="str">
        <f>IF(E76&gt;0,MIN((VLOOKUP($E76,$A$232:$C$241,3,0)),($F76+$G76)),"")</f>
        <v/>
      </c>
      <c r="O76" s="273">
        <f>IF(E76=6,(MIN(VLOOKUP($E76,$A$232:$E$241,5,0),H76)),H76)</f>
        <v>0</v>
      </c>
      <c r="P76" s="272">
        <f>IF(E76=6,I76,IF(E76&gt;0,MIN((VLOOKUP($E76,$A$232:$E$241,5,0)),(I76)),0))*(1-$T$2)</f>
        <v>0</v>
      </c>
      <c r="Q76" s="62">
        <f t="shared" si="15"/>
        <v>0</v>
      </c>
      <c r="R76" s="274" t="str">
        <f t="shared" si="16"/>
        <v/>
      </c>
      <c r="S76" s="269">
        <f>(IF(OR($B76=0,$C76=0,$D76=0),0,IF(OR($E76=0,($G76+$F76=0),$H76=0),0,MIN((VLOOKUP($E76,$A$232:$C$241,3,0))*(IF($E76=6,$P76,$O76))*((MIN((VLOOKUP($E76,$A$232:$E$241,5,0)),(IF($E76=6,$O76,$P76))))),MIN((VLOOKUP($E76,$A$232:$C$241,3,0)),($F76+$G76))*(IF($E76=6,$P76,((MIN((VLOOKUP($E76,$A$232:$E$241,5,0)),$P76)))))))))*$Q76</f>
        <v>0</v>
      </c>
      <c r="T76" s="101">
        <f t="shared" si="17"/>
        <v>0</v>
      </c>
      <c r="U76" s="122"/>
      <c r="V76" s="300"/>
      <c r="W76" s="131">
        <f t="shared" si="10"/>
        <v>0</v>
      </c>
      <c r="X76" s="62">
        <f t="shared" si="18"/>
        <v>0</v>
      </c>
      <c r="Y76" s="63" t="str">
        <f t="shared" si="11"/>
        <v/>
      </c>
      <c r="Z76" s="133">
        <f>(IF(OR($B76=0,$C76=0,$D76=0),0,IF(OR($E76=0,($G76+$F76=0),$H76=0),0,MIN((VLOOKUP($E76,$A$232:$C$241,3,0))*(IF($E76=6,$W76,$O76))*((MIN((VLOOKUP($E76,$A$232:$E$241,5,0)),(IF($E76=6,$O76,$W76))))),MIN((VLOOKUP($E76,$A$232:$C$241,3,0)),($F76+$G76))*(IF($E76=6,$W76,((MIN((VLOOKUP($E76,$A$232:$E$241,5,0)),$W76)))))))))*$X76</f>
        <v>0</v>
      </c>
      <c r="AA76" s="139">
        <f t="shared" si="12"/>
        <v>0</v>
      </c>
      <c r="AB76" s="126"/>
      <c r="AC76" s="295"/>
      <c r="AD76" s="295"/>
      <c r="AF76" s="359">
        <f t="shared" si="19"/>
        <v>0</v>
      </c>
    </row>
    <row r="77" spans="1:32" s="22" customFormat="1" ht="24.75" customHeight="1" outlineLevel="1" x14ac:dyDescent="0.2">
      <c r="A77" s="177">
        <v>74</v>
      </c>
      <c r="B77" s="325"/>
      <c r="C77" s="325"/>
      <c r="D77" s="325"/>
      <c r="E77" s="326"/>
      <c r="F77" s="327"/>
      <c r="G77" s="328"/>
      <c r="H77" s="329"/>
      <c r="I77" s="329"/>
      <c r="J77" s="330"/>
      <c r="K77" s="331">
        <f>(IF(OR($B77=0,$C77=0,$D77=0),0,IF(OR($E77=0,($G77+$F77=0),$H77=0),0,MIN((VLOOKUP($E77,$A$232:$C$241,3,0))*(IF($E77=6,$I77,$H77))*((MIN((VLOOKUP($E77,$A$232:$E$241,5,0)),(IF($E77=6,$H77,$I77))))),MIN((VLOOKUP($E77,$A$232:$C$241,3,0)),($F77+$G77))*(IF($E77=6,$I77,((MIN((VLOOKUP($E77,$A$232:$E$241,5,0)),$I77)))))))))*$J77</f>
        <v>0</v>
      </c>
      <c r="L77" s="332">
        <f t="shared" si="13"/>
        <v>0</v>
      </c>
      <c r="M77" s="333">
        <f t="shared" si="14"/>
        <v>0</v>
      </c>
      <c r="N77" s="277" t="str">
        <f>IF(E77&gt;0,MIN((VLOOKUP($E77,$A$232:$C$241,3,0)),($F77+$G77)),"")</f>
        <v/>
      </c>
      <c r="O77" s="273">
        <f>IF(E77=6,(MIN(VLOOKUP($E77,$A$232:$E$241,5,0),H77)),H77)</f>
        <v>0</v>
      </c>
      <c r="P77" s="272">
        <f>IF(E77=6,I77,IF(E77&gt;0,MIN((VLOOKUP($E77,$A$232:$E$241,5,0)),(I77)),0))*(1-$T$2)</f>
        <v>0</v>
      </c>
      <c r="Q77" s="62">
        <f t="shared" si="15"/>
        <v>0</v>
      </c>
      <c r="R77" s="274" t="str">
        <f t="shared" si="16"/>
        <v/>
      </c>
      <c r="S77" s="269">
        <f>(IF(OR($B77=0,$C77=0,$D77=0),0,IF(OR($E77=0,($G77+$F77=0),$H77=0),0,MIN((VLOOKUP($E77,$A$232:$C$241,3,0))*(IF($E77=6,$P77,$O77))*((MIN((VLOOKUP($E77,$A$232:$E$241,5,0)),(IF($E77=6,$O77,$P77))))),MIN((VLOOKUP($E77,$A$232:$C$241,3,0)),($F77+$G77))*(IF($E77=6,$P77,((MIN((VLOOKUP($E77,$A$232:$E$241,5,0)),$P77)))))))))*$Q77</f>
        <v>0</v>
      </c>
      <c r="T77" s="101">
        <f t="shared" si="17"/>
        <v>0</v>
      </c>
      <c r="U77" s="122"/>
      <c r="V77" s="300"/>
      <c r="W77" s="131">
        <f t="shared" si="10"/>
        <v>0</v>
      </c>
      <c r="X77" s="62">
        <f t="shared" si="18"/>
        <v>0</v>
      </c>
      <c r="Y77" s="63" t="str">
        <f t="shared" si="11"/>
        <v/>
      </c>
      <c r="Z77" s="133">
        <f>(IF(OR($B77=0,$C77=0,$D77=0),0,IF(OR($E77=0,($G77+$F77=0),$H77=0),0,MIN((VLOOKUP($E77,$A$232:$C$241,3,0))*(IF($E77=6,$W77,$O77))*((MIN((VLOOKUP($E77,$A$232:$E$241,5,0)),(IF($E77=6,$O77,$W77))))),MIN((VLOOKUP($E77,$A$232:$C$241,3,0)),($F77+$G77))*(IF($E77=6,$W77,((MIN((VLOOKUP($E77,$A$232:$E$241,5,0)),$W77)))))))))*$X77</f>
        <v>0</v>
      </c>
      <c r="AA77" s="139">
        <f t="shared" si="12"/>
        <v>0</v>
      </c>
      <c r="AB77" s="126"/>
      <c r="AC77" s="295"/>
      <c r="AD77" s="295"/>
      <c r="AF77" s="359">
        <f t="shared" si="19"/>
        <v>0</v>
      </c>
    </row>
    <row r="78" spans="1:32" s="22" customFormat="1" ht="24.75" customHeight="1" outlineLevel="1" x14ac:dyDescent="0.2">
      <c r="A78" s="177">
        <v>75</v>
      </c>
      <c r="B78" s="325"/>
      <c r="C78" s="325"/>
      <c r="D78" s="325"/>
      <c r="E78" s="326"/>
      <c r="F78" s="327"/>
      <c r="G78" s="328"/>
      <c r="H78" s="329"/>
      <c r="I78" s="329"/>
      <c r="J78" s="330"/>
      <c r="K78" s="331">
        <f>(IF(OR($B78=0,$C78=0,$D78=0),0,IF(OR($E78=0,($G78+$F78=0),$H78=0),0,MIN((VLOOKUP($E78,$A$232:$C$241,3,0))*(IF($E78=6,$I78,$H78))*((MIN((VLOOKUP($E78,$A$232:$E$241,5,0)),(IF($E78=6,$H78,$I78))))),MIN((VLOOKUP($E78,$A$232:$C$241,3,0)),($F78+$G78))*(IF($E78=6,$I78,((MIN((VLOOKUP($E78,$A$232:$E$241,5,0)),$I78)))))))))*$J78</f>
        <v>0</v>
      </c>
      <c r="L78" s="332">
        <f t="shared" si="13"/>
        <v>0</v>
      </c>
      <c r="M78" s="333">
        <f t="shared" si="14"/>
        <v>0</v>
      </c>
      <c r="N78" s="277" t="str">
        <f>IF(E78&gt;0,MIN((VLOOKUP($E78,$A$232:$C$241,3,0)),($F78+$G78)),"")</f>
        <v/>
      </c>
      <c r="O78" s="273">
        <f>IF(E78=6,(MIN(VLOOKUP($E78,$A$232:$E$241,5,0),H78)),H78)</f>
        <v>0</v>
      </c>
      <c r="P78" s="272">
        <f>IF(E78=6,I78,IF(E78&gt;0,MIN((VLOOKUP($E78,$A$232:$E$241,5,0)),(I78)),0))*(1-$T$2)</f>
        <v>0</v>
      </c>
      <c r="Q78" s="62">
        <f t="shared" si="15"/>
        <v>0</v>
      </c>
      <c r="R78" s="274" t="str">
        <f t="shared" si="16"/>
        <v/>
      </c>
      <c r="S78" s="269">
        <f>(IF(OR($B78=0,$C78=0,$D78=0),0,IF(OR($E78=0,($G78+$F78=0),$H78=0),0,MIN((VLOOKUP($E78,$A$232:$C$241,3,0))*(IF($E78=6,$P78,$O78))*((MIN((VLOOKUP($E78,$A$232:$E$241,5,0)),(IF($E78=6,$O78,$P78))))),MIN((VLOOKUP($E78,$A$232:$C$241,3,0)),($F78+$G78))*(IF($E78=6,$P78,((MIN((VLOOKUP($E78,$A$232:$E$241,5,0)),$P78)))))))))*$Q78</f>
        <v>0</v>
      </c>
      <c r="T78" s="101">
        <f t="shared" si="17"/>
        <v>0</v>
      </c>
      <c r="U78" s="122"/>
      <c r="V78" s="300"/>
      <c r="W78" s="131">
        <f t="shared" si="10"/>
        <v>0</v>
      </c>
      <c r="X78" s="62">
        <f t="shared" si="18"/>
        <v>0</v>
      </c>
      <c r="Y78" s="63" t="str">
        <f t="shared" si="11"/>
        <v/>
      </c>
      <c r="Z78" s="133">
        <f>(IF(OR($B78=0,$C78=0,$D78=0),0,IF(OR($E78=0,($G78+$F78=0),$H78=0),0,MIN((VLOOKUP($E78,$A$232:$C$241,3,0))*(IF($E78=6,$W78,$O78))*((MIN((VLOOKUP($E78,$A$232:$E$241,5,0)),(IF($E78=6,$O78,$W78))))),MIN((VLOOKUP($E78,$A$232:$C$241,3,0)),($F78+$G78))*(IF($E78=6,$W78,((MIN((VLOOKUP($E78,$A$232:$E$241,5,0)),$W78)))))))))*$X78</f>
        <v>0</v>
      </c>
      <c r="AA78" s="139">
        <f t="shared" si="12"/>
        <v>0</v>
      </c>
      <c r="AB78" s="126"/>
      <c r="AC78" s="295"/>
      <c r="AD78" s="295"/>
      <c r="AF78" s="359">
        <f t="shared" si="19"/>
        <v>0</v>
      </c>
    </row>
    <row r="79" spans="1:32" s="22" customFormat="1" ht="24.75" customHeight="1" outlineLevel="1" x14ac:dyDescent="0.2">
      <c r="A79" s="177">
        <v>76</v>
      </c>
      <c r="B79" s="325"/>
      <c r="C79" s="325"/>
      <c r="D79" s="325"/>
      <c r="E79" s="326"/>
      <c r="F79" s="327"/>
      <c r="G79" s="328"/>
      <c r="H79" s="329"/>
      <c r="I79" s="329"/>
      <c r="J79" s="330"/>
      <c r="K79" s="331">
        <f>(IF(OR($B79=0,$C79=0,$D79=0),0,IF(OR($E79=0,($G79+$F79=0),$H79=0),0,MIN((VLOOKUP($E79,$A$232:$C$241,3,0))*(IF($E79=6,$I79,$H79))*((MIN((VLOOKUP($E79,$A$232:$E$241,5,0)),(IF($E79=6,$H79,$I79))))),MIN((VLOOKUP($E79,$A$232:$C$241,3,0)),($F79+$G79))*(IF($E79=6,$I79,((MIN((VLOOKUP($E79,$A$232:$E$241,5,0)),$I79)))))))))*$J79</f>
        <v>0</v>
      </c>
      <c r="L79" s="332">
        <f t="shared" si="13"/>
        <v>0</v>
      </c>
      <c r="M79" s="333">
        <f t="shared" si="14"/>
        <v>0</v>
      </c>
      <c r="N79" s="277" t="str">
        <f>IF(E79&gt;0,MIN((VLOOKUP($E79,$A$232:$C$241,3,0)),($F79+$G79)),"")</f>
        <v/>
      </c>
      <c r="O79" s="273">
        <f>IF(E79=6,(MIN(VLOOKUP($E79,$A$232:$E$241,5,0),H79)),H79)</f>
        <v>0</v>
      </c>
      <c r="P79" s="272">
        <f>IF(E79=6,I79,IF(E79&gt;0,MIN((VLOOKUP($E79,$A$232:$E$241,5,0)),(I79)),0))*(1-$T$2)</f>
        <v>0</v>
      </c>
      <c r="Q79" s="62">
        <f t="shared" si="15"/>
        <v>0</v>
      </c>
      <c r="R79" s="274" t="str">
        <f t="shared" si="16"/>
        <v/>
      </c>
      <c r="S79" s="269">
        <f>(IF(OR($B79=0,$C79=0,$D79=0),0,IF(OR($E79=0,($G79+$F79=0),$H79=0),0,MIN((VLOOKUP($E79,$A$232:$C$241,3,0))*(IF($E79=6,$P79,$O79))*((MIN((VLOOKUP($E79,$A$232:$E$241,5,0)),(IF($E79=6,$O79,$P79))))),MIN((VLOOKUP($E79,$A$232:$C$241,3,0)),($F79+$G79))*(IF($E79=6,$P79,((MIN((VLOOKUP($E79,$A$232:$E$241,5,0)),$P79)))))))))*$Q79</f>
        <v>0</v>
      </c>
      <c r="T79" s="101">
        <f t="shared" si="17"/>
        <v>0</v>
      </c>
      <c r="U79" s="122"/>
      <c r="V79" s="300"/>
      <c r="W79" s="131">
        <f t="shared" si="10"/>
        <v>0</v>
      </c>
      <c r="X79" s="62">
        <f t="shared" si="18"/>
        <v>0</v>
      </c>
      <c r="Y79" s="63" t="str">
        <f t="shared" si="11"/>
        <v/>
      </c>
      <c r="Z79" s="133">
        <f>(IF(OR($B79=0,$C79=0,$D79=0),0,IF(OR($E79=0,($G79+$F79=0),$H79=0),0,MIN((VLOOKUP($E79,$A$232:$C$241,3,0))*(IF($E79=6,$W79,$O79))*((MIN((VLOOKUP($E79,$A$232:$E$241,5,0)),(IF($E79=6,$O79,$W79))))),MIN((VLOOKUP($E79,$A$232:$C$241,3,0)),($F79+$G79))*(IF($E79=6,$W79,((MIN((VLOOKUP($E79,$A$232:$E$241,5,0)),$W79)))))))))*$X79</f>
        <v>0</v>
      </c>
      <c r="AA79" s="139">
        <f t="shared" si="12"/>
        <v>0</v>
      </c>
      <c r="AB79" s="126"/>
      <c r="AC79" s="295"/>
      <c r="AD79" s="295"/>
      <c r="AF79" s="359">
        <f t="shared" si="19"/>
        <v>0</v>
      </c>
    </row>
    <row r="80" spans="1:32" s="22" customFormat="1" ht="24.75" customHeight="1" outlineLevel="1" x14ac:dyDescent="0.2">
      <c r="A80" s="177">
        <v>77</v>
      </c>
      <c r="B80" s="325"/>
      <c r="C80" s="325"/>
      <c r="D80" s="325"/>
      <c r="E80" s="326"/>
      <c r="F80" s="327"/>
      <c r="G80" s="328"/>
      <c r="H80" s="329"/>
      <c r="I80" s="329"/>
      <c r="J80" s="330"/>
      <c r="K80" s="331">
        <f>(IF(OR($B80=0,$C80=0,$D80=0),0,IF(OR($E80=0,($G80+$F80=0),$H80=0),0,MIN((VLOOKUP($E80,$A$232:$C$241,3,0))*(IF($E80=6,$I80,$H80))*((MIN((VLOOKUP($E80,$A$232:$E$241,5,0)),(IF($E80=6,$H80,$I80))))),MIN((VLOOKUP($E80,$A$232:$C$241,3,0)),($F80+$G80))*(IF($E80=6,$I80,((MIN((VLOOKUP($E80,$A$232:$E$241,5,0)),$I80)))))))))*$J80</f>
        <v>0</v>
      </c>
      <c r="L80" s="332">
        <f t="shared" si="13"/>
        <v>0</v>
      </c>
      <c r="M80" s="333">
        <f t="shared" si="14"/>
        <v>0</v>
      </c>
      <c r="N80" s="277" t="str">
        <f>IF(E80&gt;0,MIN((VLOOKUP($E80,$A$232:$C$241,3,0)),($F80+$G80)),"")</f>
        <v/>
      </c>
      <c r="O80" s="273">
        <f>IF(E80=6,(MIN(VLOOKUP($E80,$A$232:$E$241,5,0),H80)),H80)</f>
        <v>0</v>
      </c>
      <c r="P80" s="272">
        <f>IF(E80=6,I80,IF(E80&gt;0,MIN((VLOOKUP($E80,$A$232:$E$241,5,0)),(I80)),0))*(1-$T$2)</f>
        <v>0</v>
      </c>
      <c r="Q80" s="62">
        <f t="shared" si="15"/>
        <v>0</v>
      </c>
      <c r="R80" s="274" t="str">
        <f t="shared" si="16"/>
        <v/>
      </c>
      <c r="S80" s="269">
        <f>(IF(OR($B80=0,$C80=0,$D80=0),0,IF(OR($E80=0,($G80+$F80=0),$H80=0),0,MIN((VLOOKUP($E80,$A$232:$C$241,3,0))*(IF($E80=6,$P80,$O80))*((MIN((VLOOKUP($E80,$A$232:$E$241,5,0)),(IF($E80=6,$O80,$P80))))),MIN((VLOOKUP($E80,$A$232:$C$241,3,0)),($F80+$G80))*(IF($E80=6,$P80,((MIN((VLOOKUP($E80,$A$232:$E$241,5,0)),$P80)))))))))*$Q80</f>
        <v>0</v>
      </c>
      <c r="T80" s="101">
        <f t="shared" si="17"/>
        <v>0</v>
      </c>
      <c r="U80" s="122"/>
      <c r="V80" s="300"/>
      <c r="W80" s="131">
        <f t="shared" si="10"/>
        <v>0</v>
      </c>
      <c r="X80" s="62">
        <f t="shared" si="18"/>
        <v>0</v>
      </c>
      <c r="Y80" s="63" t="str">
        <f t="shared" si="11"/>
        <v/>
      </c>
      <c r="Z80" s="133">
        <f>(IF(OR($B80=0,$C80=0,$D80=0),0,IF(OR($E80=0,($G80+$F80=0),$H80=0),0,MIN((VLOOKUP($E80,$A$232:$C$241,3,0))*(IF($E80=6,$W80,$O80))*((MIN((VLOOKUP($E80,$A$232:$E$241,5,0)),(IF($E80=6,$O80,$W80))))),MIN((VLOOKUP($E80,$A$232:$C$241,3,0)),($F80+$G80))*(IF($E80=6,$W80,((MIN((VLOOKUP($E80,$A$232:$E$241,5,0)),$W80)))))))))*$X80</f>
        <v>0</v>
      </c>
      <c r="AA80" s="139">
        <f t="shared" si="12"/>
        <v>0</v>
      </c>
      <c r="AB80" s="126"/>
      <c r="AC80" s="295"/>
      <c r="AD80" s="295"/>
      <c r="AF80" s="359">
        <f t="shared" si="19"/>
        <v>0</v>
      </c>
    </row>
    <row r="81" spans="1:32" s="22" customFormat="1" ht="24.75" customHeight="1" outlineLevel="1" x14ac:dyDescent="0.2">
      <c r="A81" s="177">
        <v>78</v>
      </c>
      <c r="B81" s="325"/>
      <c r="C81" s="325"/>
      <c r="D81" s="325"/>
      <c r="E81" s="326"/>
      <c r="F81" s="327"/>
      <c r="G81" s="328"/>
      <c r="H81" s="329"/>
      <c r="I81" s="329"/>
      <c r="J81" s="330"/>
      <c r="K81" s="331">
        <f>(IF(OR($B81=0,$C81=0,$D81=0),0,IF(OR($E81=0,($G81+$F81=0),$H81=0),0,MIN((VLOOKUP($E81,$A$232:$C$241,3,0))*(IF($E81=6,$I81,$H81))*((MIN((VLOOKUP($E81,$A$232:$E$241,5,0)),(IF($E81=6,$H81,$I81))))),MIN((VLOOKUP($E81,$A$232:$C$241,3,0)),($F81+$G81))*(IF($E81=6,$I81,((MIN((VLOOKUP($E81,$A$232:$E$241,5,0)),$I81)))))))))*$J81</f>
        <v>0</v>
      </c>
      <c r="L81" s="332">
        <f t="shared" si="13"/>
        <v>0</v>
      </c>
      <c r="M81" s="333">
        <f t="shared" si="14"/>
        <v>0</v>
      </c>
      <c r="N81" s="277" t="str">
        <f>IF(E81&gt;0,MIN((VLOOKUP($E81,$A$232:$C$241,3,0)),($F81+$G81)),"")</f>
        <v/>
      </c>
      <c r="O81" s="273">
        <f>IF(E81=6,(MIN(VLOOKUP($E81,$A$232:$E$241,5,0),H81)),H81)</f>
        <v>0</v>
      </c>
      <c r="P81" s="272">
        <f>IF(E81=6,I81,IF(E81&gt;0,MIN((VLOOKUP($E81,$A$232:$E$241,5,0)),(I81)),0))*(1-$T$2)</f>
        <v>0</v>
      </c>
      <c r="Q81" s="62">
        <f t="shared" si="15"/>
        <v>0</v>
      </c>
      <c r="R81" s="274" t="str">
        <f t="shared" si="16"/>
        <v/>
      </c>
      <c r="S81" s="269">
        <f>(IF(OR($B81=0,$C81=0,$D81=0),0,IF(OR($E81=0,($G81+$F81=0),$H81=0),0,MIN((VLOOKUP($E81,$A$232:$C$241,3,0))*(IF($E81=6,$P81,$O81))*((MIN((VLOOKUP($E81,$A$232:$E$241,5,0)),(IF($E81=6,$O81,$P81))))),MIN((VLOOKUP($E81,$A$232:$C$241,3,0)),($F81+$G81))*(IF($E81=6,$P81,((MIN((VLOOKUP($E81,$A$232:$E$241,5,0)),$P81)))))))))*$Q81</f>
        <v>0</v>
      </c>
      <c r="T81" s="101">
        <f t="shared" si="17"/>
        <v>0</v>
      </c>
      <c r="U81" s="122"/>
      <c r="V81" s="300"/>
      <c r="W81" s="131">
        <f t="shared" si="10"/>
        <v>0</v>
      </c>
      <c r="X81" s="62">
        <f t="shared" si="18"/>
        <v>0</v>
      </c>
      <c r="Y81" s="63" t="str">
        <f t="shared" si="11"/>
        <v/>
      </c>
      <c r="Z81" s="133">
        <f>(IF(OR($B81=0,$C81=0,$D81=0),0,IF(OR($E81=0,($G81+$F81=0),$H81=0),0,MIN((VLOOKUP($E81,$A$232:$C$241,3,0))*(IF($E81=6,$W81,$O81))*((MIN((VLOOKUP($E81,$A$232:$E$241,5,0)),(IF($E81=6,$O81,$W81))))),MIN((VLOOKUP($E81,$A$232:$C$241,3,0)),($F81+$G81))*(IF($E81=6,$W81,((MIN((VLOOKUP($E81,$A$232:$E$241,5,0)),$W81)))))))))*$X81</f>
        <v>0</v>
      </c>
      <c r="AA81" s="139">
        <f t="shared" si="12"/>
        <v>0</v>
      </c>
      <c r="AB81" s="126"/>
      <c r="AC81" s="295"/>
      <c r="AD81" s="295"/>
      <c r="AF81" s="359">
        <f t="shared" si="19"/>
        <v>0</v>
      </c>
    </row>
    <row r="82" spans="1:32" s="22" customFormat="1" ht="24.75" customHeight="1" outlineLevel="1" x14ac:dyDescent="0.2">
      <c r="A82" s="177">
        <v>79</v>
      </c>
      <c r="B82" s="325"/>
      <c r="C82" s="325"/>
      <c r="D82" s="325"/>
      <c r="E82" s="326"/>
      <c r="F82" s="327"/>
      <c r="G82" s="328"/>
      <c r="H82" s="329"/>
      <c r="I82" s="329"/>
      <c r="J82" s="330"/>
      <c r="K82" s="331">
        <f>(IF(OR($B82=0,$C82=0,$D82=0),0,IF(OR($E82=0,($G82+$F82=0),$H82=0),0,MIN((VLOOKUP($E82,$A$232:$C$241,3,0))*(IF($E82=6,$I82,$H82))*((MIN((VLOOKUP($E82,$A$232:$E$241,5,0)),(IF($E82=6,$H82,$I82))))),MIN((VLOOKUP($E82,$A$232:$C$241,3,0)),($F82+$G82))*(IF($E82=6,$I82,((MIN((VLOOKUP($E82,$A$232:$E$241,5,0)),$I82)))))))))*$J82</f>
        <v>0</v>
      </c>
      <c r="L82" s="332">
        <f t="shared" si="13"/>
        <v>0</v>
      </c>
      <c r="M82" s="333">
        <f t="shared" si="14"/>
        <v>0</v>
      </c>
      <c r="N82" s="277" t="str">
        <f>IF(E82&gt;0,MIN((VLOOKUP($E82,$A$232:$C$241,3,0)),($F82+$G82)),"")</f>
        <v/>
      </c>
      <c r="O82" s="273">
        <f>IF(E82=6,(MIN(VLOOKUP($E82,$A$232:$E$241,5,0),H82)),H82)</f>
        <v>0</v>
      </c>
      <c r="P82" s="272">
        <f>IF(E82=6,I82,IF(E82&gt;0,MIN((VLOOKUP($E82,$A$232:$E$241,5,0)),(I82)),0))*(1-$T$2)</f>
        <v>0</v>
      </c>
      <c r="Q82" s="62">
        <f t="shared" si="15"/>
        <v>0</v>
      </c>
      <c r="R82" s="274" t="str">
        <f t="shared" si="16"/>
        <v/>
      </c>
      <c r="S82" s="269">
        <f>(IF(OR($B82=0,$C82=0,$D82=0),0,IF(OR($E82=0,($G82+$F82=0),$H82=0),0,MIN((VLOOKUP($E82,$A$232:$C$241,3,0))*(IF($E82=6,$P82,$O82))*((MIN((VLOOKUP($E82,$A$232:$E$241,5,0)),(IF($E82=6,$O82,$P82))))),MIN((VLOOKUP($E82,$A$232:$C$241,3,0)),($F82+$G82))*(IF($E82=6,$P82,((MIN((VLOOKUP($E82,$A$232:$E$241,5,0)),$P82)))))))))*$Q82</f>
        <v>0</v>
      </c>
      <c r="T82" s="101">
        <f t="shared" si="17"/>
        <v>0</v>
      </c>
      <c r="U82" s="122"/>
      <c r="V82" s="300"/>
      <c r="W82" s="131">
        <f t="shared" si="10"/>
        <v>0</v>
      </c>
      <c r="X82" s="62">
        <f t="shared" si="18"/>
        <v>0</v>
      </c>
      <c r="Y82" s="63" t="str">
        <f t="shared" si="11"/>
        <v/>
      </c>
      <c r="Z82" s="133">
        <f>(IF(OR($B82=0,$C82=0,$D82=0),0,IF(OR($E82=0,($G82+$F82=0),$H82=0),0,MIN((VLOOKUP($E82,$A$232:$C$241,3,0))*(IF($E82=6,$W82,$O82))*((MIN((VLOOKUP($E82,$A$232:$E$241,5,0)),(IF($E82=6,$O82,$W82))))),MIN((VLOOKUP($E82,$A$232:$C$241,3,0)),($F82+$G82))*(IF($E82=6,$W82,((MIN((VLOOKUP($E82,$A$232:$E$241,5,0)),$W82)))))))))*$X82</f>
        <v>0</v>
      </c>
      <c r="AA82" s="139">
        <f t="shared" si="12"/>
        <v>0</v>
      </c>
      <c r="AB82" s="126"/>
      <c r="AC82" s="295"/>
      <c r="AD82" s="295"/>
      <c r="AF82" s="359">
        <f t="shared" si="19"/>
        <v>0</v>
      </c>
    </row>
    <row r="83" spans="1:32" s="22" customFormat="1" ht="24.75" customHeight="1" outlineLevel="1" x14ac:dyDescent="0.2">
      <c r="A83" s="177">
        <v>80</v>
      </c>
      <c r="B83" s="325"/>
      <c r="C83" s="325"/>
      <c r="D83" s="325"/>
      <c r="E83" s="326"/>
      <c r="F83" s="327"/>
      <c r="G83" s="328"/>
      <c r="H83" s="329"/>
      <c r="I83" s="329"/>
      <c r="J83" s="330"/>
      <c r="K83" s="331">
        <f>(IF(OR($B83=0,$C83=0,$D83=0),0,IF(OR($E83=0,($G83+$F83=0),$H83=0),0,MIN((VLOOKUP($E83,$A$232:$C$241,3,0))*(IF($E83=6,$I83,$H83))*((MIN((VLOOKUP($E83,$A$232:$E$241,5,0)),(IF($E83=6,$H83,$I83))))),MIN((VLOOKUP($E83,$A$232:$C$241,3,0)),($F83+$G83))*(IF($E83=6,$I83,((MIN((VLOOKUP($E83,$A$232:$E$241,5,0)),$I83)))))))))*$J83</f>
        <v>0</v>
      </c>
      <c r="L83" s="332">
        <f t="shared" si="13"/>
        <v>0</v>
      </c>
      <c r="M83" s="333">
        <f t="shared" si="14"/>
        <v>0</v>
      </c>
      <c r="N83" s="277" t="str">
        <f>IF(E83&gt;0,MIN((VLOOKUP($E83,$A$232:$C$241,3,0)),($F83+$G83)),"")</f>
        <v/>
      </c>
      <c r="O83" s="273">
        <f>IF(E83=6,(MIN(VLOOKUP($E83,$A$232:$E$241,5,0),H83)),H83)</f>
        <v>0</v>
      </c>
      <c r="P83" s="272">
        <f>IF(E83=6,I83,IF(E83&gt;0,MIN((VLOOKUP($E83,$A$232:$E$241,5,0)),(I83)),0))*(1-$T$2)</f>
        <v>0</v>
      </c>
      <c r="Q83" s="62">
        <f t="shared" si="15"/>
        <v>0</v>
      </c>
      <c r="R83" s="274" t="str">
        <f t="shared" si="16"/>
        <v/>
      </c>
      <c r="S83" s="269">
        <f>(IF(OR($B83=0,$C83=0,$D83=0),0,IF(OR($E83=0,($G83+$F83=0),$H83=0),0,MIN((VLOOKUP($E83,$A$232:$C$241,3,0))*(IF($E83=6,$P83,$O83))*((MIN((VLOOKUP($E83,$A$232:$E$241,5,0)),(IF($E83=6,$O83,$P83))))),MIN((VLOOKUP($E83,$A$232:$C$241,3,0)),($F83+$G83))*(IF($E83=6,$P83,((MIN((VLOOKUP($E83,$A$232:$E$241,5,0)),$P83)))))))))*$Q83</f>
        <v>0</v>
      </c>
      <c r="T83" s="101">
        <f t="shared" si="17"/>
        <v>0</v>
      </c>
      <c r="U83" s="122"/>
      <c r="V83" s="300"/>
      <c r="W83" s="131">
        <f t="shared" si="10"/>
        <v>0</v>
      </c>
      <c r="X83" s="62">
        <f t="shared" si="18"/>
        <v>0</v>
      </c>
      <c r="Y83" s="63" t="str">
        <f t="shared" si="11"/>
        <v/>
      </c>
      <c r="Z83" s="133">
        <f>(IF(OR($B83=0,$C83=0,$D83=0),0,IF(OR($E83=0,($G83+$F83=0),$H83=0),0,MIN((VLOOKUP($E83,$A$232:$C$241,3,0))*(IF($E83=6,$W83,$O83))*((MIN((VLOOKUP($E83,$A$232:$E$241,5,0)),(IF($E83=6,$O83,$W83))))),MIN((VLOOKUP($E83,$A$232:$C$241,3,0)),($F83+$G83))*(IF($E83=6,$W83,((MIN((VLOOKUP($E83,$A$232:$E$241,5,0)),$W83)))))))))*$X83</f>
        <v>0</v>
      </c>
      <c r="AA83" s="139">
        <f t="shared" si="12"/>
        <v>0</v>
      </c>
      <c r="AB83" s="126"/>
      <c r="AC83" s="295"/>
      <c r="AD83" s="295"/>
      <c r="AF83" s="359">
        <f t="shared" si="19"/>
        <v>0</v>
      </c>
    </row>
    <row r="84" spans="1:32" s="22" customFormat="1" ht="24.75" customHeight="1" outlineLevel="1" x14ac:dyDescent="0.2">
      <c r="A84" s="177">
        <v>81</v>
      </c>
      <c r="B84" s="325"/>
      <c r="C84" s="325"/>
      <c r="D84" s="325"/>
      <c r="E84" s="326"/>
      <c r="F84" s="327"/>
      <c r="G84" s="328"/>
      <c r="H84" s="329"/>
      <c r="I84" s="329"/>
      <c r="J84" s="330"/>
      <c r="K84" s="331">
        <f>(IF(OR($B84=0,$C84=0,$D84=0),0,IF(OR($E84=0,($G84+$F84=0),$H84=0),0,MIN((VLOOKUP($E84,$A$232:$C$241,3,0))*(IF($E84=6,$I84,$H84))*((MIN((VLOOKUP($E84,$A$232:$E$241,5,0)),(IF($E84=6,$H84,$I84))))),MIN((VLOOKUP($E84,$A$232:$C$241,3,0)),($F84+$G84))*(IF($E84=6,$I84,((MIN((VLOOKUP($E84,$A$232:$E$241,5,0)),$I84)))))))))*$J84</f>
        <v>0</v>
      </c>
      <c r="L84" s="332">
        <f t="shared" si="13"/>
        <v>0</v>
      </c>
      <c r="M84" s="333">
        <f t="shared" si="14"/>
        <v>0</v>
      </c>
      <c r="N84" s="277" t="str">
        <f>IF(E84&gt;0,MIN((VLOOKUP($E84,$A$232:$C$241,3,0)),($F84+$G84)),"")</f>
        <v/>
      </c>
      <c r="O84" s="273">
        <f>IF(E84=6,(MIN(VLOOKUP($E84,$A$232:$E$241,5,0),H84)),H84)</f>
        <v>0</v>
      </c>
      <c r="P84" s="272">
        <f>IF(E84=6,I84,IF(E84&gt;0,MIN((VLOOKUP($E84,$A$232:$E$241,5,0)),(I84)),0))*(1-$T$2)</f>
        <v>0</v>
      </c>
      <c r="Q84" s="62">
        <f t="shared" si="15"/>
        <v>0</v>
      </c>
      <c r="R84" s="274" t="str">
        <f t="shared" si="16"/>
        <v/>
      </c>
      <c r="S84" s="269">
        <f>(IF(OR($B84=0,$C84=0,$D84=0),0,IF(OR($E84=0,($G84+$F84=0),$H84=0),0,MIN((VLOOKUP($E84,$A$232:$C$241,3,0))*(IF($E84=6,$P84,$O84))*((MIN((VLOOKUP($E84,$A$232:$E$241,5,0)),(IF($E84=6,$O84,$P84))))),MIN((VLOOKUP($E84,$A$232:$C$241,3,0)),($F84+$G84))*(IF($E84=6,$P84,((MIN((VLOOKUP($E84,$A$232:$E$241,5,0)),$P84)))))))))*$Q84</f>
        <v>0</v>
      </c>
      <c r="T84" s="101">
        <f t="shared" si="17"/>
        <v>0</v>
      </c>
      <c r="U84" s="122"/>
      <c r="V84" s="300"/>
      <c r="W84" s="131">
        <f t="shared" ref="W84:W147" si="20">IF($AA$2&gt;0,(1-$AA$2)*P84,P84)</f>
        <v>0</v>
      </c>
      <c r="X84" s="62">
        <f t="shared" si="18"/>
        <v>0</v>
      </c>
      <c r="Y84" s="63" t="str">
        <f t="shared" si="11"/>
        <v/>
      </c>
      <c r="Z84" s="133">
        <f>(IF(OR($B84=0,$C84=0,$D84=0),0,IF(OR($E84=0,($G84+$F84=0),$H84=0),0,MIN((VLOOKUP($E84,$A$232:$C$241,3,0))*(IF($E84=6,$W84,$O84))*((MIN((VLOOKUP($E84,$A$232:$E$241,5,0)),(IF($E84=6,$O84,$W84))))),MIN((VLOOKUP($E84,$A$232:$C$241,3,0)),($F84+$G84))*(IF($E84=6,$W84,((MIN((VLOOKUP($E84,$A$232:$E$241,5,0)),$W84)))))))))*$X84</f>
        <v>0</v>
      </c>
      <c r="AA84" s="139">
        <f t="shared" si="12"/>
        <v>0</v>
      </c>
      <c r="AB84" s="126"/>
      <c r="AC84" s="295"/>
      <c r="AD84" s="295"/>
      <c r="AF84" s="359">
        <f t="shared" si="19"/>
        <v>0</v>
      </c>
    </row>
    <row r="85" spans="1:32" s="22" customFormat="1" ht="24.75" customHeight="1" outlineLevel="1" x14ac:dyDescent="0.2">
      <c r="A85" s="177">
        <v>82</v>
      </c>
      <c r="B85" s="325"/>
      <c r="C85" s="325"/>
      <c r="D85" s="325"/>
      <c r="E85" s="326"/>
      <c r="F85" s="327"/>
      <c r="G85" s="328"/>
      <c r="H85" s="329"/>
      <c r="I85" s="329"/>
      <c r="J85" s="330"/>
      <c r="K85" s="331">
        <f>(IF(OR($B85=0,$C85=0,$D85=0),0,IF(OR($E85=0,($G85+$F85=0),$H85=0),0,MIN((VLOOKUP($E85,$A$232:$C$241,3,0))*(IF($E85=6,$I85,$H85))*((MIN((VLOOKUP($E85,$A$232:$E$241,5,0)),(IF($E85=6,$H85,$I85))))),MIN((VLOOKUP($E85,$A$232:$C$241,3,0)),($F85+$G85))*(IF($E85=6,$I85,((MIN((VLOOKUP($E85,$A$232:$E$241,5,0)),$I85)))))))))*$J85</f>
        <v>0</v>
      </c>
      <c r="L85" s="332">
        <f t="shared" si="13"/>
        <v>0</v>
      </c>
      <c r="M85" s="333">
        <f t="shared" si="14"/>
        <v>0</v>
      </c>
      <c r="N85" s="277" t="str">
        <f>IF(E85&gt;0,MIN((VLOOKUP($E85,$A$232:$C$241,3,0)),($F85+$G85)),"")</f>
        <v/>
      </c>
      <c r="O85" s="273">
        <f>IF(E85=6,(MIN(VLOOKUP($E85,$A$232:$E$241,5,0),H85)),H85)</f>
        <v>0</v>
      </c>
      <c r="P85" s="272">
        <f>IF(E85=6,I85,IF(E85&gt;0,MIN((VLOOKUP($E85,$A$232:$E$241,5,0)),(I85)),0))*(1-$T$2)</f>
        <v>0</v>
      </c>
      <c r="Q85" s="62">
        <f t="shared" si="15"/>
        <v>0</v>
      </c>
      <c r="R85" s="274" t="str">
        <f t="shared" si="16"/>
        <v/>
      </c>
      <c r="S85" s="269">
        <f>(IF(OR($B85=0,$C85=0,$D85=0),0,IF(OR($E85=0,($G85+$F85=0),$H85=0),0,MIN((VLOOKUP($E85,$A$232:$C$241,3,0))*(IF($E85=6,$P85,$O85))*((MIN((VLOOKUP($E85,$A$232:$E$241,5,0)),(IF($E85=6,$O85,$P85))))),MIN((VLOOKUP($E85,$A$232:$C$241,3,0)),($F85+$G85))*(IF($E85=6,$P85,((MIN((VLOOKUP($E85,$A$232:$E$241,5,0)),$P85)))))))))*$Q85</f>
        <v>0</v>
      </c>
      <c r="T85" s="101">
        <f t="shared" si="17"/>
        <v>0</v>
      </c>
      <c r="U85" s="122"/>
      <c r="V85" s="300"/>
      <c r="W85" s="131">
        <f t="shared" si="20"/>
        <v>0</v>
      </c>
      <c r="X85" s="62">
        <f t="shared" si="18"/>
        <v>0</v>
      </c>
      <c r="Y85" s="63" t="str">
        <f t="shared" si="11"/>
        <v/>
      </c>
      <c r="Z85" s="133">
        <f>(IF(OR($B85=0,$C85=0,$D85=0),0,IF(OR($E85=0,($G85+$F85=0),$H85=0),0,MIN((VLOOKUP($E85,$A$232:$C$241,3,0))*(IF($E85=6,$W85,$O85))*((MIN((VLOOKUP($E85,$A$232:$E$241,5,0)),(IF($E85=6,$O85,$W85))))),MIN((VLOOKUP($E85,$A$232:$C$241,3,0)),($F85+$G85))*(IF($E85=6,$W85,((MIN((VLOOKUP($E85,$A$232:$E$241,5,0)),$W85)))))))))*$X85</f>
        <v>0</v>
      </c>
      <c r="AA85" s="139">
        <f t="shared" si="12"/>
        <v>0</v>
      </c>
      <c r="AB85" s="126"/>
      <c r="AC85" s="295"/>
      <c r="AD85" s="295"/>
      <c r="AF85" s="359">
        <f t="shared" si="19"/>
        <v>0</v>
      </c>
    </row>
    <row r="86" spans="1:32" s="22" customFormat="1" ht="24.75" customHeight="1" outlineLevel="1" x14ac:dyDescent="0.2">
      <c r="A86" s="177">
        <v>83</v>
      </c>
      <c r="B86" s="325"/>
      <c r="C86" s="325"/>
      <c r="D86" s="325"/>
      <c r="E86" s="326"/>
      <c r="F86" s="327"/>
      <c r="G86" s="328"/>
      <c r="H86" s="329"/>
      <c r="I86" s="329"/>
      <c r="J86" s="330"/>
      <c r="K86" s="331">
        <f>(IF(OR($B86=0,$C86=0,$D86=0),0,IF(OR($E86=0,($G86+$F86=0),$H86=0),0,MIN((VLOOKUP($E86,$A$232:$C$241,3,0))*(IF($E86=6,$I86,$H86))*((MIN((VLOOKUP($E86,$A$232:$E$241,5,0)),(IF($E86=6,$H86,$I86))))),MIN((VLOOKUP($E86,$A$232:$C$241,3,0)),($F86+$G86))*(IF($E86=6,$I86,((MIN((VLOOKUP($E86,$A$232:$E$241,5,0)),$I86)))))))))*$J86</f>
        <v>0</v>
      </c>
      <c r="L86" s="332">
        <f t="shared" si="13"/>
        <v>0</v>
      </c>
      <c r="M86" s="333">
        <f t="shared" si="14"/>
        <v>0</v>
      </c>
      <c r="N86" s="277" t="str">
        <f>IF(E86&gt;0,MIN((VLOOKUP($E86,$A$232:$C$241,3,0)),($F86+$G86)),"")</f>
        <v/>
      </c>
      <c r="O86" s="273">
        <f>IF(E86=6,(MIN(VLOOKUP($E86,$A$232:$E$241,5,0),H86)),H86)</f>
        <v>0</v>
      </c>
      <c r="P86" s="272">
        <f>IF(E86=6,I86,IF(E86&gt;0,MIN((VLOOKUP($E86,$A$232:$E$241,5,0)),(I86)),0))*(1-$T$2)</f>
        <v>0</v>
      </c>
      <c r="Q86" s="62">
        <f t="shared" si="15"/>
        <v>0</v>
      </c>
      <c r="R86" s="274" t="str">
        <f t="shared" si="16"/>
        <v/>
      </c>
      <c r="S86" s="269">
        <f>(IF(OR($B86=0,$C86=0,$D86=0),0,IF(OR($E86=0,($G86+$F86=0),$H86=0),0,MIN((VLOOKUP($E86,$A$232:$C$241,3,0))*(IF($E86=6,$P86,$O86))*((MIN((VLOOKUP($E86,$A$232:$E$241,5,0)),(IF($E86=6,$O86,$P86))))),MIN((VLOOKUP($E86,$A$232:$C$241,3,0)),($F86+$G86))*(IF($E86=6,$P86,((MIN((VLOOKUP($E86,$A$232:$E$241,5,0)),$P86)))))))))*$Q86</f>
        <v>0</v>
      </c>
      <c r="T86" s="101">
        <f t="shared" si="17"/>
        <v>0</v>
      </c>
      <c r="U86" s="122"/>
      <c r="V86" s="300"/>
      <c r="W86" s="131">
        <f t="shared" si="20"/>
        <v>0</v>
      </c>
      <c r="X86" s="62">
        <f t="shared" si="18"/>
        <v>0</v>
      </c>
      <c r="Y86" s="63" t="str">
        <f t="shared" si="11"/>
        <v/>
      </c>
      <c r="Z86" s="133">
        <f>(IF(OR($B86=0,$C86=0,$D86=0),0,IF(OR($E86=0,($G86+$F86=0),$H86=0),0,MIN((VLOOKUP($E86,$A$232:$C$241,3,0))*(IF($E86=6,$W86,$O86))*((MIN((VLOOKUP($E86,$A$232:$E$241,5,0)),(IF($E86=6,$O86,$W86))))),MIN((VLOOKUP($E86,$A$232:$C$241,3,0)),($F86+$G86))*(IF($E86=6,$W86,((MIN((VLOOKUP($E86,$A$232:$E$241,5,0)),$W86)))))))))*$X86</f>
        <v>0</v>
      </c>
      <c r="AA86" s="139">
        <f t="shared" si="12"/>
        <v>0</v>
      </c>
      <c r="AB86" s="126"/>
      <c r="AC86" s="295"/>
      <c r="AD86" s="295"/>
      <c r="AF86" s="359">
        <f t="shared" si="19"/>
        <v>0</v>
      </c>
    </row>
    <row r="87" spans="1:32" s="22" customFormat="1" ht="24.75" customHeight="1" outlineLevel="1" x14ac:dyDescent="0.2">
      <c r="A87" s="177">
        <v>84</v>
      </c>
      <c r="B87" s="325"/>
      <c r="C87" s="325"/>
      <c r="D87" s="325"/>
      <c r="E87" s="326"/>
      <c r="F87" s="327"/>
      <c r="G87" s="328"/>
      <c r="H87" s="329"/>
      <c r="I87" s="329"/>
      <c r="J87" s="330"/>
      <c r="K87" s="331">
        <f>(IF(OR($B87=0,$C87=0,$D87=0),0,IF(OR($E87=0,($G87+$F87=0),$H87=0),0,MIN((VLOOKUP($E87,$A$232:$C$241,3,0))*(IF($E87=6,$I87,$H87))*((MIN((VLOOKUP($E87,$A$232:$E$241,5,0)),(IF($E87=6,$H87,$I87))))),MIN((VLOOKUP($E87,$A$232:$C$241,3,0)),($F87+$G87))*(IF($E87=6,$I87,((MIN((VLOOKUP($E87,$A$232:$E$241,5,0)),$I87)))))))))*$J87</f>
        <v>0</v>
      </c>
      <c r="L87" s="332">
        <f t="shared" si="13"/>
        <v>0</v>
      </c>
      <c r="M87" s="333">
        <f t="shared" si="14"/>
        <v>0</v>
      </c>
      <c r="N87" s="277" t="str">
        <f>IF(E87&gt;0,MIN((VLOOKUP($E87,$A$232:$C$241,3,0)),($F87+$G87)),"")</f>
        <v/>
      </c>
      <c r="O87" s="273">
        <f>IF(E87=6,(MIN(VLOOKUP($E87,$A$232:$E$241,5,0),H87)),H87)</f>
        <v>0</v>
      </c>
      <c r="P87" s="272">
        <f>IF(E87=6,I87,IF(E87&gt;0,MIN((VLOOKUP($E87,$A$232:$E$241,5,0)),(I87)),0))*(1-$T$2)</f>
        <v>0</v>
      </c>
      <c r="Q87" s="62">
        <f t="shared" si="15"/>
        <v>0</v>
      </c>
      <c r="R87" s="274" t="str">
        <f t="shared" si="16"/>
        <v/>
      </c>
      <c r="S87" s="269">
        <f>(IF(OR($B87=0,$C87=0,$D87=0),0,IF(OR($E87=0,($G87+$F87=0),$H87=0),0,MIN((VLOOKUP($E87,$A$232:$C$241,3,0))*(IF($E87=6,$P87,$O87))*((MIN((VLOOKUP($E87,$A$232:$E$241,5,0)),(IF($E87=6,$O87,$P87))))),MIN((VLOOKUP($E87,$A$232:$C$241,3,0)),($F87+$G87))*(IF($E87=6,$P87,((MIN((VLOOKUP($E87,$A$232:$E$241,5,0)),$P87)))))))))*$Q87</f>
        <v>0</v>
      </c>
      <c r="T87" s="101">
        <f t="shared" si="17"/>
        <v>0</v>
      </c>
      <c r="U87" s="122"/>
      <c r="V87" s="300"/>
      <c r="W87" s="131">
        <f t="shared" si="20"/>
        <v>0</v>
      </c>
      <c r="X87" s="62">
        <f t="shared" si="18"/>
        <v>0</v>
      </c>
      <c r="Y87" s="63" t="str">
        <f t="shared" si="11"/>
        <v/>
      </c>
      <c r="Z87" s="133">
        <f>(IF(OR($B87=0,$C87=0,$D87=0),0,IF(OR($E87=0,($G87+$F87=0),$H87=0),0,MIN((VLOOKUP($E87,$A$232:$C$241,3,0))*(IF($E87=6,$W87,$O87))*((MIN((VLOOKUP($E87,$A$232:$E$241,5,0)),(IF($E87=6,$O87,$W87))))),MIN((VLOOKUP($E87,$A$232:$C$241,3,0)),($F87+$G87))*(IF($E87=6,$W87,((MIN((VLOOKUP($E87,$A$232:$E$241,5,0)),$W87)))))))))*$X87</f>
        <v>0</v>
      </c>
      <c r="AA87" s="139">
        <f t="shared" si="12"/>
        <v>0</v>
      </c>
      <c r="AB87" s="126"/>
      <c r="AC87" s="295"/>
      <c r="AD87" s="295"/>
      <c r="AF87" s="359">
        <f t="shared" si="19"/>
        <v>0</v>
      </c>
    </row>
    <row r="88" spans="1:32" s="22" customFormat="1" ht="24.75" customHeight="1" outlineLevel="1" x14ac:dyDescent="0.2">
      <c r="A88" s="177">
        <v>85</v>
      </c>
      <c r="B88" s="325"/>
      <c r="C88" s="325"/>
      <c r="D88" s="325"/>
      <c r="E88" s="326"/>
      <c r="F88" s="327"/>
      <c r="G88" s="328"/>
      <c r="H88" s="329"/>
      <c r="I88" s="329"/>
      <c r="J88" s="330"/>
      <c r="K88" s="331">
        <f>(IF(OR($B88=0,$C88=0,$D88=0),0,IF(OR($E88=0,($G88+$F88=0),$H88=0),0,MIN((VLOOKUP($E88,$A$232:$C$241,3,0))*(IF($E88=6,$I88,$H88))*((MIN((VLOOKUP($E88,$A$232:$E$241,5,0)),(IF($E88=6,$H88,$I88))))),MIN((VLOOKUP($E88,$A$232:$C$241,3,0)),($F88+$G88))*(IF($E88=6,$I88,((MIN((VLOOKUP($E88,$A$232:$E$241,5,0)),$I88)))))))))*$J88</f>
        <v>0</v>
      </c>
      <c r="L88" s="332">
        <f t="shared" si="13"/>
        <v>0</v>
      </c>
      <c r="M88" s="333">
        <f t="shared" si="14"/>
        <v>0</v>
      </c>
      <c r="N88" s="277" t="str">
        <f>IF(E88&gt;0,MIN((VLOOKUP($E88,$A$232:$C$241,3,0)),($F88+$G88)),"")</f>
        <v/>
      </c>
      <c r="O88" s="273">
        <f>IF(E88=6,(MIN(VLOOKUP($E88,$A$232:$E$241,5,0),H88)),H88)</f>
        <v>0</v>
      </c>
      <c r="P88" s="272">
        <f>IF(E88=6,I88,IF(E88&gt;0,MIN((VLOOKUP($E88,$A$232:$E$241,5,0)),(I88)),0))*(1-$T$2)</f>
        <v>0</v>
      </c>
      <c r="Q88" s="62">
        <f t="shared" si="15"/>
        <v>0</v>
      </c>
      <c r="R88" s="274" t="str">
        <f t="shared" si="16"/>
        <v/>
      </c>
      <c r="S88" s="269">
        <f>(IF(OR($B88=0,$C88=0,$D88=0),0,IF(OR($E88=0,($G88+$F88=0),$H88=0),0,MIN((VLOOKUP($E88,$A$232:$C$241,3,0))*(IF($E88=6,$P88,$O88))*((MIN((VLOOKUP($E88,$A$232:$E$241,5,0)),(IF($E88=6,$O88,$P88))))),MIN((VLOOKUP($E88,$A$232:$C$241,3,0)),($F88+$G88))*(IF($E88=6,$P88,((MIN((VLOOKUP($E88,$A$232:$E$241,5,0)),$P88)))))))))*$Q88</f>
        <v>0</v>
      </c>
      <c r="T88" s="101">
        <f t="shared" si="17"/>
        <v>0</v>
      </c>
      <c r="U88" s="122"/>
      <c r="V88" s="300"/>
      <c r="W88" s="131">
        <f t="shared" si="20"/>
        <v>0</v>
      </c>
      <c r="X88" s="62">
        <f t="shared" si="18"/>
        <v>0</v>
      </c>
      <c r="Y88" s="63" t="str">
        <f t="shared" si="11"/>
        <v/>
      </c>
      <c r="Z88" s="133">
        <f>(IF(OR($B88=0,$C88=0,$D88=0),0,IF(OR($E88=0,($G88+$F88=0),$H88=0),0,MIN((VLOOKUP($E88,$A$232:$C$241,3,0))*(IF($E88=6,$W88,$O88))*((MIN((VLOOKUP($E88,$A$232:$E$241,5,0)),(IF($E88=6,$O88,$W88))))),MIN((VLOOKUP($E88,$A$232:$C$241,3,0)),($F88+$G88))*(IF($E88=6,$W88,((MIN((VLOOKUP($E88,$A$232:$E$241,5,0)),$W88)))))))))*$X88</f>
        <v>0</v>
      </c>
      <c r="AA88" s="139">
        <f t="shared" si="12"/>
        <v>0</v>
      </c>
      <c r="AB88" s="126"/>
      <c r="AC88" s="295"/>
      <c r="AD88" s="295"/>
      <c r="AF88" s="359">
        <f t="shared" si="19"/>
        <v>0</v>
      </c>
    </row>
    <row r="89" spans="1:32" s="22" customFormat="1" ht="24.75" customHeight="1" outlineLevel="1" x14ac:dyDescent="0.2">
      <c r="A89" s="177">
        <v>86</v>
      </c>
      <c r="B89" s="325"/>
      <c r="C89" s="325"/>
      <c r="D89" s="325"/>
      <c r="E89" s="326"/>
      <c r="F89" s="327"/>
      <c r="G89" s="328"/>
      <c r="H89" s="329"/>
      <c r="I89" s="329"/>
      <c r="J89" s="330"/>
      <c r="K89" s="331">
        <f>(IF(OR($B89=0,$C89=0,$D89=0),0,IF(OR($E89=0,($G89+$F89=0),$H89=0),0,MIN((VLOOKUP($E89,$A$232:$C$241,3,0))*(IF($E89=6,$I89,$H89))*((MIN((VLOOKUP($E89,$A$232:$E$241,5,0)),(IF($E89=6,$H89,$I89))))),MIN((VLOOKUP($E89,$A$232:$C$241,3,0)),($F89+$G89))*(IF($E89=6,$I89,((MIN((VLOOKUP($E89,$A$232:$E$241,5,0)),$I89)))))))))*$J89</f>
        <v>0</v>
      </c>
      <c r="L89" s="332">
        <f t="shared" si="13"/>
        <v>0</v>
      </c>
      <c r="M89" s="333">
        <f t="shared" si="14"/>
        <v>0</v>
      </c>
      <c r="N89" s="277" t="str">
        <f>IF(E89&gt;0,MIN((VLOOKUP($E89,$A$232:$C$241,3,0)),($F89+$G89)),"")</f>
        <v/>
      </c>
      <c r="O89" s="273">
        <f>IF(E89=6,(MIN(VLOOKUP($E89,$A$232:$E$241,5,0),H89)),H89)</f>
        <v>0</v>
      </c>
      <c r="P89" s="272">
        <f>IF(E89=6,I89,IF(E89&gt;0,MIN((VLOOKUP($E89,$A$232:$E$241,5,0)),(I89)),0))*(1-$T$2)</f>
        <v>0</v>
      </c>
      <c r="Q89" s="62">
        <f t="shared" si="15"/>
        <v>0</v>
      </c>
      <c r="R89" s="274" t="str">
        <f t="shared" si="16"/>
        <v/>
      </c>
      <c r="S89" s="269">
        <f>(IF(OR($B89=0,$C89=0,$D89=0),0,IF(OR($E89=0,($G89+$F89=0),$H89=0),0,MIN((VLOOKUP($E89,$A$232:$C$241,3,0))*(IF($E89=6,$P89,$O89))*((MIN((VLOOKUP($E89,$A$232:$E$241,5,0)),(IF($E89=6,$O89,$P89))))),MIN((VLOOKUP($E89,$A$232:$C$241,3,0)),($F89+$G89))*(IF($E89=6,$P89,((MIN((VLOOKUP($E89,$A$232:$E$241,5,0)),$P89)))))))))*$Q89</f>
        <v>0</v>
      </c>
      <c r="T89" s="101">
        <f t="shared" si="17"/>
        <v>0</v>
      </c>
      <c r="U89" s="122"/>
      <c r="V89" s="300"/>
      <c r="W89" s="131">
        <f t="shared" si="20"/>
        <v>0</v>
      </c>
      <c r="X89" s="62">
        <f t="shared" si="18"/>
        <v>0</v>
      </c>
      <c r="Y89" s="63" t="str">
        <f t="shared" si="11"/>
        <v/>
      </c>
      <c r="Z89" s="133">
        <f>(IF(OR($B89=0,$C89=0,$D89=0),0,IF(OR($E89=0,($G89+$F89=0),$H89=0),0,MIN((VLOOKUP($E89,$A$232:$C$241,3,0))*(IF($E89=6,$W89,$O89))*((MIN((VLOOKUP($E89,$A$232:$E$241,5,0)),(IF($E89=6,$O89,$W89))))),MIN((VLOOKUP($E89,$A$232:$C$241,3,0)),($F89+$G89))*(IF($E89=6,$W89,((MIN((VLOOKUP($E89,$A$232:$E$241,5,0)),$W89)))))))))*$X89</f>
        <v>0</v>
      </c>
      <c r="AA89" s="139">
        <f t="shared" si="12"/>
        <v>0</v>
      </c>
      <c r="AB89" s="126"/>
      <c r="AC89" s="295"/>
      <c r="AD89" s="295"/>
      <c r="AF89" s="359">
        <f t="shared" si="19"/>
        <v>0</v>
      </c>
    </row>
    <row r="90" spans="1:32" s="22" customFormat="1" ht="24.75" customHeight="1" outlineLevel="1" x14ac:dyDescent="0.2">
      <c r="A90" s="177">
        <v>87</v>
      </c>
      <c r="B90" s="325"/>
      <c r="C90" s="325"/>
      <c r="D90" s="325"/>
      <c r="E90" s="326"/>
      <c r="F90" s="327"/>
      <c r="G90" s="328"/>
      <c r="H90" s="329"/>
      <c r="I90" s="329"/>
      <c r="J90" s="330"/>
      <c r="K90" s="331">
        <f>(IF(OR($B90=0,$C90=0,$D90=0),0,IF(OR($E90=0,($G90+$F90=0),$H90=0),0,MIN((VLOOKUP($E90,$A$232:$C$241,3,0))*(IF($E90=6,$I90,$H90))*((MIN((VLOOKUP($E90,$A$232:$E$241,5,0)),(IF($E90=6,$H90,$I90))))),MIN((VLOOKUP($E90,$A$232:$C$241,3,0)),($F90+$G90))*(IF($E90=6,$I90,((MIN((VLOOKUP($E90,$A$232:$E$241,5,0)),$I90)))))))))*$J90</f>
        <v>0</v>
      </c>
      <c r="L90" s="332">
        <f t="shared" si="13"/>
        <v>0</v>
      </c>
      <c r="M90" s="333">
        <f t="shared" si="14"/>
        <v>0</v>
      </c>
      <c r="N90" s="277" t="str">
        <f>IF(E90&gt;0,MIN((VLOOKUP($E90,$A$232:$C$241,3,0)),($F90+$G90)),"")</f>
        <v/>
      </c>
      <c r="O90" s="273">
        <f>IF(E90=6,(MIN(VLOOKUP($E90,$A$232:$E$241,5,0),H90)),H90)</f>
        <v>0</v>
      </c>
      <c r="P90" s="272">
        <f>IF(E90=6,I90,IF(E90&gt;0,MIN((VLOOKUP($E90,$A$232:$E$241,5,0)),(I90)),0))*(1-$T$2)</f>
        <v>0</v>
      </c>
      <c r="Q90" s="62">
        <f t="shared" si="15"/>
        <v>0</v>
      </c>
      <c r="R90" s="274" t="str">
        <f t="shared" si="16"/>
        <v/>
      </c>
      <c r="S90" s="269">
        <f>(IF(OR($B90=0,$C90=0,$D90=0),0,IF(OR($E90=0,($G90+$F90=0),$H90=0),0,MIN((VLOOKUP($E90,$A$232:$C$241,3,0))*(IF($E90=6,$P90,$O90))*((MIN((VLOOKUP($E90,$A$232:$E$241,5,0)),(IF($E90=6,$O90,$P90))))),MIN((VLOOKUP($E90,$A$232:$C$241,3,0)),($F90+$G90))*(IF($E90=6,$P90,((MIN((VLOOKUP($E90,$A$232:$E$241,5,0)),$P90)))))))))*$Q90</f>
        <v>0</v>
      </c>
      <c r="T90" s="101">
        <f t="shared" si="17"/>
        <v>0</v>
      </c>
      <c r="U90" s="122"/>
      <c r="V90" s="300"/>
      <c r="W90" s="131">
        <f t="shared" si="20"/>
        <v>0</v>
      </c>
      <c r="X90" s="62">
        <f t="shared" si="18"/>
        <v>0</v>
      </c>
      <c r="Y90" s="63" t="str">
        <f t="shared" si="11"/>
        <v/>
      </c>
      <c r="Z90" s="133">
        <f>(IF(OR($B90=0,$C90=0,$D90=0),0,IF(OR($E90=0,($G90+$F90=0),$H90=0),0,MIN((VLOOKUP($E90,$A$232:$C$241,3,0))*(IF($E90=6,$W90,$O90))*((MIN((VLOOKUP($E90,$A$232:$E$241,5,0)),(IF($E90=6,$O90,$W90))))),MIN((VLOOKUP($E90,$A$232:$C$241,3,0)),($F90+$G90))*(IF($E90=6,$W90,((MIN((VLOOKUP($E90,$A$232:$E$241,5,0)),$W90)))))))))*$X90</f>
        <v>0</v>
      </c>
      <c r="AA90" s="139">
        <f t="shared" si="12"/>
        <v>0</v>
      </c>
      <c r="AB90" s="126"/>
      <c r="AC90" s="295"/>
      <c r="AD90" s="295"/>
      <c r="AF90" s="359">
        <f t="shared" si="19"/>
        <v>0</v>
      </c>
    </row>
    <row r="91" spans="1:32" s="22" customFormat="1" ht="24.75" customHeight="1" outlineLevel="1" x14ac:dyDescent="0.2">
      <c r="A91" s="177">
        <v>88</v>
      </c>
      <c r="B91" s="325"/>
      <c r="C91" s="325"/>
      <c r="D91" s="325"/>
      <c r="E91" s="326"/>
      <c r="F91" s="327"/>
      <c r="G91" s="328"/>
      <c r="H91" s="329"/>
      <c r="I91" s="329"/>
      <c r="J91" s="330"/>
      <c r="K91" s="331">
        <f>(IF(OR($B91=0,$C91=0,$D91=0),0,IF(OR($E91=0,($G91+$F91=0),$H91=0),0,MIN((VLOOKUP($E91,$A$232:$C$241,3,0))*(IF($E91=6,$I91,$H91))*((MIN((VLOOKUP($E91,$A$232:$E$241,5,0)),(IF($E91=6,$H91,$I91))))),MIN((VLOOKUP($E91,$A$232:$C$241,3,0)),($F91+$G91))*(IF($E91=6,$I91,((MIN((VLOOKUP($E91,$A$232:$E$241,5,0)),$I91)))))))))*$J91</f>
        <v>0</v>
      </c>
      <c r="L91" s="332">
        <f t="shared" si="13"/>
        <v>0</v>
      </c>
      <c r="M91" s="333">
        <f t="shared" si="14"/>
        <v>0</v>
      </c>
      <c r="N91" s="277" t="str">
        <f>IF(E91&gt;0,MIN((VLOOKUP($E91,$A$232:$C$241,3,0)),($F91+$G91)),"")</f>
        <v/>
      </c>
      <c r="O91" s="273">
        <f>IF(E91=6,(MIN(VLOOKUP($E91,$A$232:$E$241,5,0),H91)),H91)</f>
        <v>0</v>
      </c>
      <c r="P91" s="272">
        <f>IF(E91=6,I91,IF(E91&gt;0,MIN((VLOOKUP($E91,$A$232:$E$241,5,0)),(I91)),0))*(1-$T$2)</f>
        <v>0</v>
      </c>
      <c r="Q91" s="62">
        <f t="shared" si="15"/>
        <v>0</v>
      </c>
      <c r="R91" s="274" t="str">
        <f t="shared" si="16"/>
        <v/>
      </c>
      <c r="S91" s="269">
        <f>(IF(OR($B91=0,$C91=0,$D91=0),0,IF(OR($E91=0,($G91+$F91=0),$H91=0),0,MIN((VLOOKUP($E91,$A$232:$C$241,3,0))*(IF($E91=6,$P91,$O91))*((MIN((VLOOKUP($E91,$A$232:$E$241,5,0)),(IF($E91=6,$O91,$P91))))),MIN((VLOOKUP($E91,$A$232:$C$241,3,0)),($F91+$G91))*(IF($E91=6,$P91,((MIN((VLOOKUP($E91,$A$232:$E$241,5,0)),$P91)))))))))*$Q91</f>
        <v>0</v>
      </c>
      <c r="T91" s="101">
        <f t="shared" si="17"/>
        <v>0</v>
      </c>
      <c r="U91" s="122"/>
      <c r="V91" s="300"/>
      <c r="W91" s="131">
        <f t="shared" si="20"/>
        <v>0</v>
      </c>
      <c r="X91" s="62">
        <f t="shared" si="18"/>
        <v>0</v>
      </c>
      <c r="Y91" s="63" t="str">
        <f t="shared" si="11"/>
        <v/>
      </c>
      <c r="Z91" s="133">
        <f>(IF(OR($B91=0,$C91=0,$D91=0),0,IF(OR($E91=0,($G91+$F91=0),$H91=0),0,MIN((VLOOKUP($E91,$A$232:$C$241,3,0))*(IF($E91=6,$W91,$O91))*((MIN((VLOOKUP($E91,$A$232:$E$241,5,0)),(IF($E91=6,$O91,$W91))))),MIN((VLOOKUP($E91,$A$232:$C$241,3,0)),($F91+$G91))*(IF($E91=6,$W91,((MIN((VLOOKUP($E91,$A$232:$E$241,5,0)),$W91)))))))))*$X91</f>
        <v>0</v>
      </c>
      <c r="AA91" s="139">
        <f t="shared" si="12"/>
        <v>0</v>
      </c>
      <c r="AB91" s="126"/>
      <c r="AC91" s="295"/>
      <c r="AD91" s="295"/>
      <c r="AF91" s="359">
        <f t="shared" si="19"/>
        <v>0</v>
      </c>
    </row>
    <row r="92" spans="1:32" s="22" customFormat="1" ht="24.75" customHeight="1" outlineLevel="1" x14ac:dyDescent="0.2">
      <c r="A92" s="177">
        <v>89</v>
      </c>
      <c r="B92" s="325"/>
      <c r="C92" s="325"/>
      <c r="D92" s="325"/>
      <c r="E92" s="326"/>
      <c r="F92" s="327"/>
      <c r="G92" s="328"/>
      <c r="H92" s="329"/>
      <c r="I92" s="329"/>
      <c r="J92" s="330"/>
      <c r="K92" s="331">
        <f>(IF(OR($B92=0,$C92=0,$D92=0),0,IF(OR($E92=0,($G92+$F92=0),$H92=0),0,MIN((VLOOKUP($E92,$A$232:$C$241,3,0))*(IF($E92=6,$I92,$H92))*((MIN((VLOOKUP($E92,$A$232:$E$241,5,0)),(IF($E92=6,$H92,$I92))))),MIN((VLOOKUP($E92,$A$232:$C$241,3,0)),($F92+$G92))*(IF($E92=6,$I92,((MIN((VLOOKUP($E92,$A$232:$E$241,5,0)),$I92)))))))))*$J92</f>
        <v>0</v>
      </c>
      <c r="L92" s="332">
        <f t="shared" si="13"/>
        <v>0</v>
      </c>
      <c r="M92" s="333">
        <f t="shared" si="14"/>
        <v>0</v>
      </c>
      <c r="N92" s="277" t="str">
        <f>IF(E92&gt;0,MIN((VLOOKUP($E92,$A$232:$C$241,3,0)),($F92+$G92)),"")</f>
        <v/>
      </c>
      <c r="O92" s="273">
        <f>IF(E92=6,(MIN(VLOOKUP($E92,$A$232:$E$241,5,0),H92)),H92)</f>
        <v>0</v>
      </c>
      <c r="P92" s="272">
        <f>IF(E92=6,I92,IF(E92&gt;0,MIN((VLOOKUP($E92,$A$232:$E$241,5,0)),(I92)),0))*(1-$T$2)</f>
        <v>0</v>
      </c>
      <c r="Q92" s="62">
        <f t="shared" si="15"/>
        <v>0</v>
      </c>
      <c r="R92" s="274" t="str">
        <f t="shared" si="16"/>
        <v/>
      </c>
      <c r="S92" s="269">
        <f>(IF(OR($B92=0,$C92=0,$D92=0),0,IF(OR($E92=0,($G92+$F92=0),$H92=0),0,MIN((VLOOKUP($E92,$A$232:$C$241,3,0))*(IF($E92=6,$P92,$O92))*((MIN((VLOOKUP($E92,$A$232:$E$241,5,0)),(IF($E92=6,$O92,$P92))))),MIN((VLOOKUP($E92,$A$232:$C$241,3,0)),($F92+$G92))*(IF($E92=6,$P92,((MIN((VLOOKUP($E92,$A$232:$E$241,5,0)),$P92)))))))))*$Q92</f>
        <v>0</v>
      </c>
      <c r="T92" s="101">
        <f t="shared" si="17"/>
        <v>0</v>
      </c>
      <c r="U92" s="122"/>
      <c r="V92" s="300"/>
      <c r="W92" s="131">
        <f t="shared" si="20"/>
        <v>0</v>
      </c>
      <c r="X92" s="62">
        <f t="shared" si="18"/>
        <v>0</v>
      </c>
      <c r="Y92" s="63" t="str">
        <f t="shared" si="11"/>
        <v/>
      </c>
      <c r="Z92" s="133">
        <f>(IF(OR($B92=0,$C92=0,$D92=0),0,IF(OR($E92=0,($G92+$F92=0),$H92=0),0,MIN((VLOOKUP($E92,$A$232:$C$241,3,0))*(IF($E92=6,$W92,$O92))*((MIN((VLOOKUP($E92,$A$232:$E$241,5,0)),(IF($E92=6,$O92,$W92))))),MIN((VLOOKUP($E92,$A$232:$C$241,3,0)),($F92+$G92))*(IF($E92=6,$W92,((MIN((VLOOKUP($E92,$A$232:$E$241,5,0)),$W92)))))))))*$X92</f>
        <v>0</v>
      </c>
      <c r="AA92" s="139">
        <f t="shared" si="12"/>
        <v>0</v>
      </c>
      <c r="AB92" s="126"/>
      <c r="AC92" s="295"/>
      <c r="AD92" s="295"/>
      <c r="AF92" s="359">
        <f t="shared" si="19"/>
        <v>0</v>
      </c>
    </row>
    <row r="93" spans="1:32" s="22" customFormat="1" ht="24.75" customHeight="1" outlineLevel="1" x14ac:dyDescent="0.2">
      <c r="A93" s="177">
        <v>90</v>
      </c>
      <c r="B93" s="325"/>
      <c r="C93" s="325"/>
      <c r="D93" s="325"/>
      <c r="E93" s="326"/>
      <c r="F93" s="327"/>
      <c r="G93" s="328"/>
      <c r="H93" s="329"/>
      <c r="I93" s="329"/>
      <c r="J93" s="330"/>
      <c r="K93" s="331">
        <f>(IF(OR($B93=0,$C93=0,$D93=0),0,IF(OR($E93=0,($G93+$F93=0),$H93=0),0,MIN((VLOOKUP($E93,$A$232:$C$241,3,0))*(IF($E93=6,$I93,$H93))*((MIN((VLOOKUP($E93,$A$232:$E$241,5,0)),(IF($E93=6,$H93,$I93))))),MIN((VLOOKUP($E93,$A$232:$C$241,3,0)),($F93+$G93))*(IF($E93=6,$I93,((MIN((VLOOKUP($E93,$A$232:$E$241,5,0)),$I93)))))))))*$J93</f>
        <v>0</v>
      </c>
      <c r="L93" s="332">
        <f t="shared" si="13"/>
        <v>0</v>
      </c>
      <c r="M93" s="333">
        <f t="shared" si="14"/>
        <v>0</v>
      </c>
      <c r="N93" s="277" t="str">
        <f>IF(E93&gt;0,MIN((VLOOKUP($E93,$A$232:$C$241,3,0)),($F93+$G93)),"")</f>
        <v/>
      </c>
      <c r="O93" s="273">
        <f>IF(E93=6,(MIN(VLOOKUP($E93,$A$232:$E$241,5,0),H93)),H93)</f>
        <v>0</v>
      </c>
      <c r="P93" s="272">
        <f>IF(E93=6,I93,IF(E93&gt;0,MIN((VLOOKUP($E93,$A$232:$E$241,5,0)),(I93)),0))*(1-$T$2)</f>
        <v>0</v>
      </c>
      <c r="Q93" s="62">
        <f t="shared" si="15"/>
        <v>0</v>
      </c>
      <c r="R93" s="274" t="str">
        <f t="shared" si="16"/>
        <v/>
      </c>
      <c r="S93" s="269">
        <f>(IF(OR($B93=0,$C93=0,$D93=0),0,IF(OR($E93=0,($G93+$F93=0),$H93=0),0,MIN((VLOOKUP($E93,$A$232:$C$241,3,0))*(IF($E93=6,$P93,$O93))*((MIN((VLOOKUP($E93,$A$232:$E$241,5,0)),(IF($E93=6,$O93,$P93))))),MIN((VLOOKUP($E93,$A$232:$C$241,3,0)),($F93+$G93))*(IF($E93=6,$P93,((MIN((VLOOKUP($E93,$A$232:$E$241,5,0)),$P93)))))))))*$Q93</f>
        <v>0</v>
      </c>
      <c r="T93" s="101">
        <f t="shared" si="17"/>
        <v>0</v>
      </c>
      <c r="U93" s="122"/>
      <c r="V93" s="300"/>
      <c r="W93" s="131">
        <f t="shared" si="20"/>
        <v>0</v>
      </c>
      <c r="X93" s="62">
        <f t="shared" si="18"/>
        <v>0</v>
      </c>
      <c r="Y93" s="63" t="str">
        <f t="shared" si="11"/>
        <v/>
      </c>
      <c r="Z93" s="133">
        <f>(IF(OR($B93=0,$C93=0,$D93=0),0,IF(OR($E93=0,($G93+$F93=0),$H93=0),0,MIN((VLOOKUP($E93,$A$232:$C$241,3,0))*(IF($E93=6,$W93,$O93))*((MIN((VLOOKUP($E93,$A$232:$E$241,5,0)),(IF($E93=6,$O93,$W93))))),MIN((VLOOKUP($E93,$A$232:$C$241,3,0)),($F93+$G93))*(IF($E93=6,$W93,((MIN((VLOOKUP($E93,$A$232:$E$241,5,0)),$W93)))))))))*$X93</f>
        <v>0</v>
      </c>
      <c r="AA93" s="139">
        <f t="shared" si="12"/>
        <v>0</v>
      </c>
      <c r="AB93" s="126"/>
      <c r="AC93" s="295"/>
      <c r="AD93" s="295"/>
      <c r="AF93" s="359">
        <f t="shared" si="19"/>
        <v>0</v>
      </c>
    </row>
    <row r="94" spans="1:32" s="22" customFormat="1" ht="24.75" customHeight="1" outlineLevel="1" x14ac:dyDescent="0.2">
      <c r="A94" s="177">
        <v>91</v>
      </c>
      <c r="B94" s="325"/>
      <c r="C94" s="325"/>
      <c r="D94" s="325"/>
      <c r="E94" s="326"/>
      <c r="F94" s="327"/>
      <c r="G94" s="328"/>
      <c r="H94" s="329"/>
      <c r="I94" s="329"/>
      <c r="J94" s="330"/>
      <c r="K94" s="331">
        <f>(IF(OR($B94=0,$C94=0,$D94=0),0,IF(OR($E94=0,($G94+$F94=0),$H94=0),0,MIN((VLOOKUP($E94,$A$232:$C$241,3,0))*(IF($E94=6,$I94,$H94))*((MIN((VLOOKUP($E94,$A$232:$E$241,5,0)),(IF($E94=6,$H94,$I94))))),MIN((VLOOKUP($E94,$A$232:$C$241,3,0)),($F94+$G94))*(IF($E94=6,$I94,((MIN((VLOOKUP($E94,$A$232:$E$241,5,0)),$I94)))))))))*$J94</f>
        <v>0</v>
      </c>
      <c r="L94" s="332">
        <f t="shared" si="13"/>
        <v>0</v>
      </c>
      <c r="M94" s="333">
        <f t="shared" si="14"/>
        <v>0</v>
      </c>
      <c r="N94" s="277" t="str">
        <f>IF(E94&gt;0,MIN((VLOOKUP($E94,$A$232:$C$241,3,0)),($F94+$G94)),"")</f>
        <v/>
      </c>
      <c r="O94" s="273">
        <f>IF(E94=6,(MIN(VLOOKUP($E94,$A$232:$E$241,5,0),H94)),H94)</f>
        <v>0</v>
      </c>
      <c r="P94" s="272">
        <f>IF(E94=6,I94,IF(E94&gt;0,MIN((VLOOKUP($E94,$A$232:$E$241,5,0)),(I94)),0))*(1-$T$2)</f>
        <v>0</v>
      </c>
      <c r="Q94" s="62">
        <f t="shared" si="15"/>
        <v>0</v>
      </c>
      <c r="R94" s="274" t="str">
        <f t="shared" si="16"/>
        <v/>
      </c>
      <c r="S94" s="269">
        <f>(IF(OR($B94=0,$C94=0,$D94=0),0,IF(OR($E94=0,($G94+$F94=0),$H94=0),0,MIN((VLOOKUP($E94,$A$232:$C$241,3,0))*(IF($E94=6,$P94,$O94))*((MIN((VLOOKUP($E94,$A$232:$E$241,5,0)),(IF($E94=6,$O94,$P94))))),MIN((VLOOKUP($E94,$A$232:$C$241,3,0)),($F94+$G94))*(IF($E94=6,$P94,((MIN((VLOOKUP($E94,$A$232:$E$241,5,0)),$P94)))))))))*$Q94</f>
        <v>0</v>
      </c>
      <c r="T94" s="101">
        <f t="shared" si="17"/>
        <v>0</v>
      </c>
      <c r="U94" s="122"/>
      <c r="V94" s="300"/>
      <c r="W94" s="131">
        <f t="shared" si="20"/>
        <v>0</v>
      </c>
      <c r="X94" s="62">
        <f t="shared" si="18"/>
        <v>0</v>
      </c>
      <c r="Y94" s="63" t="str">
        <f t="shared" si="11"/>
        <v/>
      </c>
      <c r="Z94" s="133">
        <f>(IF(OR($B94=0,$C94=0,$D94=0),0,IF(OR($E94=0,($G94+$F94=0),$H94=0),0,MIN((VLOOKUP($E94,$A$232:$C$241,3,0))*(IF($E94=6,$W94,$O94))*((MIN((VLOOKUP($E94,$A$232:$E$241,5,0)),(IF($E94=6,$O94,$W94))))),MIN((VLOOKUP($E94,$A$232:$C$241,3,0)),($F94+$G94))*(IF($E94=6,$W94,((MIN((VLOOKUP($E94,$A$232:$E$241,5,0)),$W94)))))))))*$X94</f>
        <v>0</v>
      </c>
      <c r="AA94" s="139">
        <f t="shared" si="12"/>
        <v>0</v>
      </c>
      <c r="AB94" s="126"/>
      <c r="AC94" s="295"/>
      <c r="AD94" s="295"/>
      <c r="AF94" s="359">
        <f t="shared" si="19"/>
        <v>0</v>
      </c>
    </row>
    <row r="95" spans="1:32" s="22" customFormat="1" ht="24.75" customHeight="1" outlineLevel="1" x14ac:dyDescent="0.2">
      <c r="A95" s="177">
        <v>92</v>
      </c>
      <c r="B95" s="325"/>
      <c r="C95" s="325"/>
      <c r="D95" s="325"/>
      <c r="E95" s="326"/>
      <c r="F95" s="327"/>
      <c r="G95" s="328"/>
      <c r="H95" s="329"/>
      <c r="I95" s="329"/>
      <c r="J95" s="330"/>
      <c r="K95" s="331">
        <f>(IF(OR($B95=0,$C95=0,$D95=0),0,IF(OR($E95=0,($G95+$F95=0),$H95=0),0,MIN((VLOOKUP($E95,$A$232:$C$241,3,0))*(IF($E95=6,$I95,$H95))*((MIN((VLOOKUP($E95,$A$232:$E$241,5,0)),(IF($E95=6,$H95,$I95))))),MIN((VLOOKUP($E95,$A$232:$C$241,3,0)),($F95+$G95))*(IF($E95=6,$I95,((MIN((VLOOKUP($E95,$A$232:$E$241,5,0)),$I95)))))))))*$J95</f>
        <v>0</v>
      </c>
      <c r="L95" s="332">
        <f t="shared" si="13"/>
        <v>0</v>
      </c>
      <c r="M95" s="333">
        <f t="shared" si="14"/>
        <v>0</v>
      </c>
      <c r="N95" s="277" t="str">
        <f>IF(E95&gt;0,MIN((VLOOKUP($E95,$A$232:$C$241,3,0)),($F95+$G95)),"")</f>
        <v/>
      </c>
      <c r="O95" s="273">
        <f>IF(E95=6,(MIN(VLOOKUP($E95,$A$232:$E$241,5,0),H95)),H95)</f>
        <v>0</v>
      </c>
      <c r="P95" s="272">
        <f>IF(E95=6,I95,IF(E95&gt;0,MIN((VLOOKUP($E95,$A$232:$E$241,5,0)),(I95)),0))*(1-$T$2)</f>
        <v>0</v>
      </c>
      <c r="Q95" s="62">
        <f t="shared" si="15"/>
        <v>0</v>
      </c>
      <c r="R95" s="274" t="str">
        <f t="shared" si="16"/>
        <v/>
      </c>
      <c r="S95" s="269">
        <f>(IF(OR($B95=0,$C95=0,$D95=0),0,IF(OR($E95=0,($G95+$F95=0),$H95=0),0,MIN((VLOOKUP($E95,$A$232:$C$241,3,0))*(IF($E95=6,$P95,$O95))*((MIN((VLOOKUP($E95,$A$232:$E$241,5,0)),(IF($E95=6,$O95,$P95))))),MIN((VLOOKUP($E95,$A$232:$C$241,3,0)),($F95+$G95))*(IF($E95=6,$P95,((MIN((VLOOKUP($E95,$A$232:$E$241,5,0)),$P95)))))))))*$Q95</f>
        <v>0</v>
      </c>
      <c r="T95" s="101">
        <f t="shared" si="17"/>
        <v>0</v>
      </c>
      <c r="U95" s="122"/>
      <c r="V95" s="300"/>
      <c r="W95" s="131">
        <f t="shared" si="20"/>
        <v>0</v>
      </c>
      <c r="X95" s="62">
        <f t="shared" si="18"/>
        <v>0</v>
      </c>
      <c r="Y95" s="63" t="str">
        <f t="shared" si="11"/>
        <v/>
      </c>
      <c r="Z95" s="133">
        <f>(IF(OR($B95=0,$C95=0,$D95=0),0,IF(OR($E95=0,($G95+$F95=0),$H95=0),0,MIN((VLOOKUP($E95,$A$232:$C$241,3,0))*(IF($E95=6,$W95,$O95))*((MIN((VLOOKUP($E95,$A$232:$E$241,5,0)),(IF($E95=6,$O95,$W95))))),MIN((VLOOKUP($E95,$A$232:$C$241,3,0)),($F95+$G95))*(IF($E95=6,$W95,((MIN((VLOOKUP($E95,$A$232:$E$241,5,0)),$W95)))))))))*$X95</f>
        <v>0</v>
      </c>
      <c r="AA95" s="139">
        <f t="shared" si="12"/>
        <v>0</v>
      </c>
      <c r="AB95" s="126"/>
      <c r="AC95" s="295"/>
      <c r="AD95" s="295"/>
      <c r="AF95" s="359">
        <f t="shared" si="19"/>
        <v>0</v>
      </c>
    </row>
    <row r="96" spans="1:32" s="22" customFormat="1" ht="24.75" customHeight="1" outlineLevel="1" x14ac:dyDescent="0.2">
      <c r="A96" s="177">
        <v>93</v>
      </c>
      <c r="B96" s="325"/>
      <c r="C96" s="325"/>
      <c r="D96" s="325"/>
      <c r="E96" s="326"/>
      <c r="F96" s="327"/>
      <c r="G96" s="328"/>
      <c r="H96" s="329"/>
      <c r="I96" s="329"/>
      <c r="J96" s="330"/>
      <c r="K96" s="331">
        <f>(IF(OR($B96=0,$C96=0,$D96=0),0,IF(OR($E96=0,($G96+$F96=0),$H96=0),0,MIN((VLOOKUP($E96,$A$232:$C$241,3,0))*(IF($E96=6,$I96,$H96))*((MIN((VLOOKUP($E96,$A$232:$E$241,5,0)),(IF($E96=6,$H96,$I96))))),MIN((VLOOKUP($E96,$A$232:$C$241,3,0)),($F96+$G96))*(IF($E96=6,$I96,((MIN((VLOOKUP($E96,$A$232:$E$241,5,0)),$I96)))))))))*$J96</f>
        <v>0</v>
      </c>
      <c r="L96" s="332">
        <f t="shared" si="13"/>
        <v>0</v>
      </c>
      <c r="M96" s="333">
        <f t="shared" si="14"/>
        <v>0</v>
      </c>
      <c r="N96" s="277" t="str">
        <f>IF(E96&gt;0,MIN((VLOOKUP($E96,$A$232:$C$241,3,0)),($F96+$G96)),"")</f>
        <v/>
      </c>
      <c r="O96" s="273">
        <f>IF(E96=6,(MIN(VLOOKUP($E96,$A$232:$E$241,5,0),H96)),H96)</f>
        <v>0</v>
      </c>
      <c r="P96" s="272">
        <f>IF(E96=6,I96,IF(E96&gt;0,MIN((VLOOKUP($E96,$A$232:$E$241,5,0)),(I96)),0))*(1-$T$2)</f>
        <v>0</v>
      </c>
      <c r="Q96" s="62">
        <f t="shared" si="15"/>
        <v>0</v>
      </c>
      <c r="R96" s="274" t="str">
        <f t="shared" si="16"/>
        <v/>
      </c>
      <c r="S96" s="269">
        <f>(IF(OR($B96=0,$C96=0,$D96=0),0,IF(OR($E96=0,($G96+$F96=0),$H96=0),0,MIN((VLOOKUP($E96,$A$232:$C$241,3,0))*(IF($E96=6,$P96,$O96))*((MIN((VLOOKUP($E96,$A$232:$E$241,5,0)),(IF($E96=6,$O96,$P96))))),MIN((VLOOKUP($E96,$A$232:$C$241,3,0)),($F96+$G96))*(IF($E96=6,$P96,((MIN((VLOOKUP($E96,$A$232:$E$241,5,0)),$P96)))))))))*$Q96</f>
        <v>0</v>
      </c>
      <c r="T96" s="101">
        <f t="shared" si="17"/>
        <v>0</v>
      </c>
      <c r="U96" s="122"/>
      <c r="V96" s="300"/>
      <c r="W96" s="131">
        <f t="shared" si="20"/>
        <v>0</v>
      </c>
      <c r="X96" s="62">
        <f t="shared" si="18"/>
        <v>0</v>
      </c>
      <c r="Y96" s="63" t="str">
        <f t="shared" si="11"/>
        <v/>
      </c>
      <c r="Z96" s="133">
        <f>(IF(OR($B96=0,$C96=0,$D96=0),0,IF(OR($E96=0,($G96+$F96=0),$H96=0),0,MIN((VLOOKUP($E96,$A$232:$C$241,3,0))*(IF($E96=6,$W96,$O96))*((MIN((VLOOKUP($E96,$A$232:$E$241,5,0)),(IF($E96=6,$O96,$W96))))),MIN((VLOOKUP($E96,$A$232:$C$241,3,0)),($F96+$G96))*(IF($E96=6,$W96,((MIN((VLOOKUP($E96,$A$232:$E$241,5,0)),$W96)))))))))*$X96</f>
        <v>0</v>
      </c>
      <c r="AA96" s="139">
        <f t="shared" si="12"/>
        <v>0</v>
      </c>
      <c r="AB96" s="126"/>
      <c r="AC96" s="295"/>
      <c r="AD96" s="295"/>
      <c r="AF96" s="359">
        <f t="shared" si="19"/>
        <v>0</v>
      </c>
    </row>
    <row r="97" spans="1:32" s="22" customFormat="1" ht="24.75" customHeight="1" outlineLevel="1" x14ac:dyDescent="0.2">
      <c r="A97" s="177">
        <v>94</v>
      </c>
      <c r="B97" s="325"/>
      <c r="C97" s="325"/>
      <c r="D97" s="325"/>
      <c r="E97" s="326"/>
      <c r="F97" s="327"/>
      <c r="G97" s="328"/>
      <c r="H97" s="329"/>
      <c r="I97" s="329"/>
      <c r="J97" s="330"/>
      <c r="K97" s="331">
        <f>(IF(OR($B97=0,$C97=0,$D97=0),0,IF(OR($E97=0,($G97+$F97=0),$H97=0),0,MIN((VLOOKUP($E97,$A$232:$C$241,3,0))*(IF($E97=6,$I97,$H97))*((MIN((VLOOKUP($E97,$A$232:$E$241,5,0)),(IF($E97=6,$H97,$I97))))),MIN((VLOOKUP($E97,$A$232:$C$241,3,0)),($F97+$G97))*(IF($E97=6,$I97,((MIN((VLOOKUP($E97,$A$232:$E$241,5,0)),$I97)))))))))*$J97</f>
        <v>0</v>
      </c>
      <c r="L97" s="332">
        <f t="shared" si="13"/>
        <v>0</v>
      </c>
      <c r="M97" s="333">
        <f t="shared" si="14"/>
        <v>0</v>
      </c>
      <c r="N97" s="277" t="str">
        <f>IF(E97&gt;0,MIN((VLOOKUP($E97,$A$232:$C$241,3,0)),($F97+$G97)),"")</f>
        <v/>
      </c>
      <c r="O97" s="273">
        <f>IF(E97=6,(MIN(VLOOKUP($E97,$A$232:$E$241,5,0),H97)),H97)</f>
        <v>0</v>
      </c>
      <c r="P97" s="272">
        <f>IF(E97=6,I97,IF(E97&gt;0,MIN((VLOOKUP($E97,$A$232:$E$241,5,0)),(I97)),0))*(1-$T$2)</f>
        <v>0</v>
      </c>
      <c r="Q97" s="62">
        <f t="shared" si="15"/>
        <v>0</v>
      </c>
      <c r="R97" s="274" t="str">
        <f t="shared" si="16"/>
        <v/>
      </c>
      <c r="S97" s="269">
        <f>(IF(OR($B97=0,$C97=0,$D97=0),0,IF(OR($E97=0,($G97+$F97=0),$H97=0),0,MIN((VLOOKUP($E97,$A$232:$C$241,3,0))*(IF($E97=6,$P97,$O97))*((MIN((VLOOKUP($E97,$A$232:$E$241,5,0)),(IF($E97=6,$O97,$P97))))),MIN((VLOOKUP($E97,$A$232:$C$241,3,0)),($F97+$G97))*(IF($E97=6,$P97,((MIN((VLOOKUP($E97,$A$232:$E$241,5,0)),$P97)))))))))*$Q97</f>
        <v>0</v>
      </c>
      <c r="T97" s="101">
        <f t="shared" si="17"/>
        <v>0</v>
      </c>
      <c r="U97" s="122"/>
      <c r="V97" s="300"/>
      <c r="W97" s="131">
        <f t="shared" si="20"/>
        <v>0</v>
      </c>
      <c r="X97" s="62">
        <f t="shared" si="18"/>
        <v>0</v>
      </c>
      <c r="Y97" s="63" t="str">
        <f t="shared" si="11"/>
        <v/>
      </c>
      <c r="Z97" s="133">
        <f>(IF(OR($B97=0,$C97=0,$D97=0),0,IF(OR($E97=0,($G97+$F97=0),$H97=0),0,MIN((VLOOKUP($E97,$A$232:$C$241,3,0))*(IF($E97=6,$W97,$O97))*((MIN((VLOOKUP($E97,$A$232:$E$241,5,0)),(IF($E97=6,$O97,$W97))))),MIN((VLOOKUP($E97,$A$232:$C$241,3,0)),($F97+$G97))*(IF($E97=6,$W97,((MIN((VLOOKUP($E97,$A$232:$E$241,5,0)),$W97)))))))))*$X97</f>
        <v>0</v>
      </c>
      <c r="AA97" s="139">
        <f t="shared" si="12"/>
        <v>0</v>
      </c>
      <c r="AB97" s="126"/>
      <c r="AC97" s="295"/>
      <c r="AD97" s="295"/>
      <c r="AF97" s="359">
        <f t="shared" si="19"/>
        <v>0</v>
      </c>
    </row>
    <row r="98" spans="1:32" s="22" customFormat="1" ht="24.75" customHeight="1" outlineLevel="1" x14ac:dyDescent="0.2">
      <c r="A98" s="177">
        <v>95</v>
      </c>
      <c r="B98" s="325"/>
      <c r="C98" s="325"/>
      <c r="D98" s="325"/>
      <c r="E98" s="326"/>
      <c r="F98" s="327"/>
      <c r="G98" s="328"/>
      <c r="H98" s="329"/>
      <c r="I98" s="329"/>
      <c r="J98" s="330"/>
      <c r="K98" s="331">
        <f>(IF(OR($B98=0,$C98=0,$D98=0),0,IF(OR($E98=0,($G98+$F98=0),$H98=0),0,MIN((VLOOKUP($E98,$A$232:$C$241,3,0))*(IF($E98=6,$I98,$H98))*((MIN((VLOOKUP($E98,$A$232:$E$241,5,0)),(IF($E98=6,$H98,$I98))))),MIN((VLOOKUP($E98,$A$232:$C$241,3,0)),($F98+$G98))*(IF($E98=6,$I98,((MIN((VLOOKUP($E98,$A$232:$E$241,5,0)),$I98)))))))))*$J98</f>
        <v>0</v>
      </c>
      <c r="L98" s="332">
        <f t="shared" si="13"/>
        <v>0</v>
      </c>
      <c r="M98" s="333">
        <f t="shared" si="14"/>
        <v>0</v>
      </c>
      <c r="N98" s="277" t="str">
        <f>IF(E98&gt;0,MIN((VLOOKUP($E98,$A$232:$C$241,3,0)),($F98+$G98)),"")</f>
        <v/>
      </c>
      <c r="O98" s="273">
        <f>IF(E98=6,(MIN(VLOOKUP($E98,$A$232:$E$241,5,0),H98)),H98)</f>
        <v>0</v>
      </c>
      <c r="P98" s="272">
        <f>IF(E98=6,I98,IF(E98&gt;0,MIN((VLOOKUP($E98,$A$232:$E$241,5,0)),(I98)),0))*(1-$T$2)</f>
        <v>0</v>
      </c>
      <c r="Q98" s="62">
        <f t="shared" si="15"/>
        <v>0</v>
      </c>
      <c r="R98" s="274" t="str">
        <f t="shared" si="16"/>
        <v/>
      </c>
      <c r="S98" s="269">
        <f>(IF(OR($B98=0,$C98=0,$D98=0),0,IF(OR($E98=0,($G98+$F98=0),$H98=0),0,MIN((VLOOKUP($E98,$A$232:$C$241,3,0))*(IF($E98=6,$P98,$O98))*((MIN((VLOOKUP($E98,$A$232:$E$241,5,0)),(IF($E98=6,$O98,$P98))))),MIN((VLOOKUP($E98,$A$232:$C$241,3,0)),($F98+$G98))*(IF($E98=6,$P98,((MIN((VLOOKUP($E98,$A$232:$E$241,5,0)),$P98)))))))))*$Q98</f>
        <v>0</v>
      </c>
      <c r="T98" s="101">
        <f t="shared" si="17"/>
        <v>0</v>
      </c>
      <c r="U98" s="122"/>
      <c r="V98" s="300"/>
      <c r="W98" s="131">
        <f t="shared" si="20"/>
        <v>0</v>
      </c>
      <c r="X98" s="62">
        <f t="shared" si="18"/>
        <v>0</v>
      </c>
      <c r="Y98" s="63" t="str">
        <f t="shared" si="11"/>
        <v/>
      </c>
      <c r="Z98" s="133">
        <f>(IF(OR($B98=0,$C98=0,$D98=0),0,IF(OR($E98=0,($G98+$F98=0),$H98=0),0,MIN((VLOOKUP($E98,$A$232:$C$241,3,0))*(IF($E98=6,$W98,$O98))*((MIN((VLOOKUP($E98,$A$232:$E$241,5,0)),(IF($E98=6,$O98,$W98))))),MIN((VLOOKUP($E98,$A$232:$C$241,3,0)),($F98+$G98))*(IF($E98=6,$W98,((MIN((VLOOKUP($E98,$A$232:$E$241,5,0)),$W98)))))))))*$X98</f>
        <v>0</v>
      </c>
      <c r="AA98" s="139">
        <f t="shared" si="12"/>
        <v>0</v>
      </c>
      <c r="AB98" s="126"/>
      <c r="AC98" s="295"/>
      <c r="AD98" s="295"/>
      <c r="AF98" s="359">
        <f t="shared" si="19"/>
        <v>0</v>
      </c>
    </row>
    <row r="99" spans="1:32" s="22" customFormat="1" ht="24.75" customHeight="1" outlineLevel="1" x14ac:dyDescent="0.2">
      <c r="A99" s="177">
        <v>96</v>
      </c>
      <c r="B99" s="325"/>
      <c r="C99" s="325"/>
      <c r="D99" s="325"/>
      <c r="E99" s="326"/>
      <c r="F99" s="327"/>
      <c r="G99" s="328"/>
      <c r="H99" s="329"/>
      <c r="I99" s="329"/>
      <c r="J99" s="330"/>
      <c r="K99" s="331">
        <f>(IF(OR($B99=0,$C99=0,$D99=0),0,IF(OR($E99=0,($G99+$F99=0),$H99=0),0,MIN((VLOOKUP($E99,$A$232:$C$241,3,0))*(IF($E99=6,$I99,$H99))*((MIN((VLOOKUP($E99,$A$232:$E$241,5,0)),(IF($E99=6,$H99,$I99))))),MIN((VLOOKUP($E99,$A$232:$C$241,3,0)),($F99+$G99))*(IF($E99=6,$I99,((MIN((VLOOKUP($E99,$A$232:$E$241,5,0)),$I99)))))))))*$J99</f>
        <v>0</v>
      </c>
      <c r="L99" s="332">
        <f t="shared" si="13"/>
        <v>0</v>
      </c>
      <c r="M99" s="333">
        <f t="shared" si="14"/>
        <v>0</v>
      </c>
      <c r="N99" s="277" t="str">
        <f>IF(E99&gt;0,MIN((VLOOKUP($E99,$A$232:$C$241,3,0)),($F99+$G99)),"")</f>
        <v/>
      </c>
      <c r="O99" s="273">
        <f>IF(E99=6,(MIN(VLOOKUP($E99,$A$232:$E$241,5,0),H99)),H99)</f>
        <v>0</v>
      </c>
      <c r="P99" s="272">
        <f>IF(E99=6,I99,IF(E99&gt;0,MIN((VLOOKUP($E99,$A$232:$E$241,5,0)),(I99)),0))*(1-$T$2)</f>
        <v>0</v>
      </c>
      <c r="Q99" s="62">
        <f t="shared" si="15"/>
        <v>0</v>
      </c>
      <c r="R99" s="274" t="str">
        <f t="shared" si="16"/>
        <v/>
      </c>
      <c r="S99" s="269">
        <f>(IF(OR($B99=0,$C99=0,$D99=0),0,IF(OR($E99=0,($G99+$F99=0),$H99=0),0,MIN((VLOOKUP($E99,$A$232:$C$241,3,0))*(IF($E99=6,$P99,$O99))*((MIN((VLOOKUP($E99,$A$232:$E$241,5,0)),(IF($E99=6,$O99,$P99))))),MIN((VLOOKUP($E99,$A$232:$C$241,3,0)),($F99+$G99))*(IF($E99=6,$P99,((MIN((VLOOKUP($E99,$A$232:$E$241,5,0)),$P99)))))))))*$Q99</f>
        <v>0</v>
      </c>
      <c r="T99" s="101">
        <f t="shared" si="17"/>
        <v>0</v>
      </c>
      <c r="U99" s="122"/>
      <c r="V99" s="300"/>
      <c r="W99" s="131">
        <f t="shared" si="20"/>
        <v>0</v>
      </c>
      <c r="X99" s="62">
        <f t="shared" si="18"/>
        <v>0</v>
      </c>
      <c r="Y99" s="63" t="str">
        <f t="shared" si="11"/>
        <v/>
      </c>
      <c r="Z99" s="133">
        <f>(IF(OR($B99=0,$C99=0,$D99=0),0,IF(OR($E99=0,($G99+$F99=0),$H99=0),0,MIN((VLOOKUP($E99,$A$232:$C$241,3,0))*(IF($E99=6,$W99,$O99))*((MIN((VLOOKUP($E99,$A$232:$E$241,5,0)),(IF($E99=6,$O99,$W99))))),MIN((VLOOKUP($E99,$A$232:$C$241,3,0)),($F99+$G99))*(IF($E99=6,$W99,((MIN((VLOOKUP($E99,$A$232:$E$241,5,0)),$W99)))))))))*$X99</f>
        <v>0</v>
      </c>
      <c r="AA99" s="139">
        <f t="shared" si="12"/>
        <v>0</v>
      </c>
      <c r="AB99" s="126"/>
      <c r="AC99" s="295"/>
      <c r="AD99" s="295"/>
      <c r="AF99" s="359">
        <f t="shared" si="19"/>
        <v>0</v>
      </c>
    </row>
    <row r="100" spans="1:32" s="22" customFormat="1" ht="24.75" customHeight="1" outlineLevel="1" x14ac:dyDescent="0.2">
      <c r="A100" s="177">
        <v>97</v>
      </c>
      <c r="B100" s="325"/>
      <c r="C100" s="325"/>
      <c r="D100" s="325"/>
      <c r="E100" s="326"/>
      <c r="F100" s="327"/>
      <c r="G100" s="328"/>
      <c r="H100" s="329"/>
      <c r="I100" s="329"/>
      <c r="J100" s="330"/>
      <c r="K100" s="331">
        <f>(IF(OR($B100=0,$C100=0,$D100=0),0,IF(OR($E100=0,($G100+$F100=0),$H100=0),0,MIN((VLOOKUP($E100,$A$232:$C$241,3,0))*(IF($E100=6,$I100,$H100))*((MIN((VLOOKUP($E100,$A$232:$E$241,5,0)),(IF($E100=6,$H100,$I100))))),MIN((VLOOKUP($E100,$A$232:$C$241,3,0)),($F100+$G100))*(IF($E100=6,$I100,((MIN((VLOOKUP($E100,$A$232:$E$241,5,0)),$I100)))))))))*$J100</f>
        <v>0</v>
      </c>
      <c r="L100" s="332">
        <f t="shared" si="13"/>
        <v>0</v>
      </c>
      <c r="M100" s="333">
        <f t="shared" si="14"/>
        <v>0</v>
      </c>
      <c r="N100" s="277" t="str">
        <f>IF(E100&gt;0,MIN((VLOOKUP($E100,$A$232:$C$241,3,0)),($F100+$G100)),"")</f>
        <v/>
      </c>
      <c r="O100" s="273">
        <f>IF(E100=6,(MIN(VLOOKUP($E100,$A$232:$E$241,5,0),H100)),H100)</f>
        <v>0</v>
      </c>
      <c r="P100" s="272">
        <f>IF(E100=6,I100,IF(E100&gt;0,MIN((VLOOKUP($E100,$A$232:$E$241,5,0)),(I100)),0))*(1-$T$2)</f>
        <v>0</v>
      </c>
      <c r="Q100" s="62">
        <f t="shared" si="15"/>
        <v>0</v>
      </c>
      <c r="R100" s="274" t="str">
        <f t="shared" si="16"/>
        <v/>
      </c>
      <c r="S100" s="269">
        <f>(IF(OR($B100=0,$C100=0,$D100=0),0,IF(OR($E100=0,($G100+$F100=0),$H100=0),0,MIN((VLOOKUP($E100,$A$232:$C$241,3,0))*(IF($E100=6,$P100,$O100))*((MIN((VLOOKUP($E100,$A$232:$E$241,5,0)),(IF($E100=6,$O100,$P100))))),MIN((VLOOKUP($E100,$A$232:$C$241,3,0)),($F100+$G100))*(IF($E100=6,$P100,((MIN((VLOOKUP($E100,$A$232:$E$241,5,0)),$P100)))))))))*$Q100</f>
        <v>0</v>
      </c>
      <c r="T100" s="101">
        <f t="shared" si="17"/>
        <v>0</v>
      </c>
      <c r="U100" s="122"/>
      <c r="V100" s="300"/>
      <c r="W100" s="131">
        <f t="shared" si="20"/>
        <v>0</v>
      </c>
      <c r="X100" s="62">
        <f t="shared" si="18"/>
        <v>0</v>
      </c>
      <c r="Y100" s="63" t="str">
        <f t="shared" si="11"/>
        <v/>
      </c>
      <c r="Z100" s="133">
        <f>(IF(OR($B100=0,$C100=0,$D100=0),0,IF(OR($E100=0,($G100+$F100=0),$H100=0),0,MIN((VLOOKUP($E100,$A$232:$C$241,3,0))*(IF($E100=6,$W100,$O100))*((MIN((VLOOKUP($E100,$A$232:$E$241,5,0)),(IF($E100=6,$O100,$W100))))),MIN((VLOOKUP($E100,$A$232:$C$241,3,0)),($F100+$G100))*(IF($E100=6,$W100,((MIN((VLOOKUP($E100,$A$232:$E$241,5,0)),$W100)))))))))*$X100</f>
        <v>0</v>
      </c>
      <c r="AA100" s="139">
        <f t="shared" si="12"/>
        <v>0</v>
      </c>
      <c r="AB100" s="126"/>
      <c r="AC100" s="295"/>
      <c r="AD100" s="295"/>
      <c r="AF100" s="359">
        <f t="shared" si="19"/>
        <v>0</v>
      </c>
    </row>
    <row r="101" spans="1:32" s="22" customFormat="1" ht="24.75" customHeight="1" outlineLevel="1" x14ac:dyDescent="0.2">
      <c r="A101" s="177">
        <v>98</v>
      </c>
      <c r="B101" s="325"/>
      <c r="C101" s="325"/>
      <c r="D101" s="325"/>
      <c r="E101" s="326"/>
      <c r="F101" s="327"/>
      <c r="G101" s="328"/>
      <c r="H101" s="329"/>
      <c r="I101" s="329"/>
      <c r="J101" s="330"/>
      <c r="K101" s="331">
        <f>(IF(OR($B101=0,$C101=0,$D101=0),0,IF(OR($E101=0,($G101+$F101=0),$H101=0),0,MIN((VLOOKUP($E101,$A$232:$C$241,3,0))*(IF($E101=6,$I101,$H101))*((MIN((VLOOKUP($E101,$A$232:$E$241,5,0)),(IF($E101=6,$H101,$I101))))),MIN((VLOOKUP($E101,$A$232:$C$241,3,0)),($F101+$G101))*(IF($E101=6,$I101,((MIN((VLOOKUP($E101,$A$232:$E$241,5,0)),$I101)))))))))*$J101</f>
        <v>0</v>
      </c>
      <c r="L101" s="332">
        <f t="shared" si="13"/>
        <v>0</v>
      </c>
      <c r="M101" s="333">
        <f t="shared" si="14"/>
        <v>0</v>
      </c>
      <c r="N101" s="277" t="str">
        <f>IF(E101&gt;0,MIN((VLOOKUP($E101,$A$232:$C$241,3,0)),($F101+$G101)),"")</f>
        <v/>
      </c>
      <c r="O101" s="273">
        <f>IF(E101=6,(MIN(VLOOKUP($E101,$A$232:$E$241,5,0),H101)),H101)</f>
        <v>0</v>
      </c>
      <c r="P101" s="272">
        <f>IF(E101=6,I101,IF(E101&gt;0,MIN((VLOOKUP($E101,$A$232:$E$241,5,0)),(I101)),0))*(1-$T$2)</f>
        <v>0</v>
      </c>
      <c r="Q101" s="62">
        <f t="shared" si="15"/>
        <v>0</v>
      </c>
      <c r="R101" s="274" t="str">
        <f t="shared" si="16"/>
        <v/>
      </c>
      <c r="S101" s="269">
        <f>(IF(OR($B101=0,$C101=0,$D101=0),0,IF(OR($E101=0,($G101+$F101=0),$H101=0),0,MIN((VLOOKUP($E101,$A$232:$C$241,3,0))*(IF($E101=6,$P101,$O101))*((MIN((VLOOKUP($E101,$A$232:$E$241,5,0)),(IF($E101=6,$O101,$P101))))),MIN((VLOOKUP($E101,$A$232:$C$241,3,0)),($F101+$G101))*(IF($E101=6,$P101,((MIN((VLOOKUP($E101,$A$232:$E$241,5,0)),$P101)))))))))*$Q101</f>
        <v>0</v>
      </c>
      <c r="T101" s="101">
        <f t="shared" si="17"/>
        <v>0</v>
      </c>
      <c r="U101" s="122"/>
      <c r="V101" s="300"/>
      <c r="W101" s="131">
        <f t="shared" si="20"/>
        <v>0</v>
      </c>
      <c r="X101" s="62">
        <f t="shared" si="18"/>
        <v>0</v>
      </c>
      <c r="Y101" s="63" t="str">
        <f t="shared" si="11"/>
        <v/>
      </c>
      <c r="Z101" s="133">
        <f>(IF(OR($B101=0,$C101=0,$D101=0),0,IF(OR($E101=0,($G101+$F101=0),$H101=0),0,MIN((VLOOKUP($E101,$A$232:$C$241,3,0))*(IF($E101=6,$W101,$O101))*((MIN((VLOOKUP($E101,$A$232:$E$241,5,0)),(IF($E101=6,$O101,$W101))))),MIN((VLOOKUP($E101,$A$232:$C$241,3,0)),($F101+$G101))*(IF($E101=6,$W101,((MIN((VLOOKUP($E101,$A$232:$E$241,5,0)),$W101)))))))))*$X101</f>
        <v>0</v>
      </c>
      <c r="AA101" s="139">
        <f t="shared" si="12"/>
        <v>0</v>
      </c>
      <c r="AB101" s="126"/>
      <c r="AC101" s="295"/>
      <c r="AD101" s="295"/>
      <c r="AF101" s="359">
        <f t="shared" si="19"/>
        <v>0</v>
      </c>
    </row>
    <row r="102" spans="1:32" s="22" customFormat="1" ht="24.75" customHeight="1" outlineLevel="1" x14ac:dyDescent="0.2">
      <c r="A102" s="177">
        <v>99</v>
      </c>
      <c r="B102" s="325"/>
      <c r="C102" s="325"/>
      <c r="D102" s="325"/>
      <c r="E102" s="326"/>
      <c r="F102" s="327"/>
      <c r="G102" s="328"/>
      <c r="H102" s="329"/>
      <c r="I102" s="329"/>
      <c r="J102" s="330"/>
      <c r="K102" s="331">
        <f>(IF(OR($B102=0,$C102=0,$D102=0),0,IF(OR($E102=0,($G102+$F102=0),$H102=0),0,MIN((VLOOKUP($E102,$A$232:$C$241,3,0))*(IF($E102=6,$I102,$H102))*((MIN((VLOOKUP($E102,$A$232:$E$241,5,0)),(IF($E102=6,$H102,$I102))))),MIN((VLOOKUP($E102,$A$232:$C$241,3,0)),($F102+$G102))*(IF($E102=6,$I102,((MIN((VLOOKUP($E102,$A$232:$E$241,5,0)),$I102)))))))))*$J102</f>
        <v>0</v>
      </c>
      <c r="L102" s="332">
        <f t="shared" si="13"/>
        <v>0</v>
      </c>
      <c r="M102" s="333">
        <f t="shared" si="14"/>
        <v>0</v>
      </c>
      <c r="N102" s="277" t="str">
        <f>IF(E102&gt;0,MIN((VLOOKUP($E102,$A$232:$C$241,3,0)),($F102+$G102)),"")</f>
        <v/>
      </c>
      <c r="O102" s="273">
        <f>IF(E102=6,(MIN(VLOOKUP($E102,$A$232:$E$241,5,0),H102)),H102)</f>
        <v>0</v>
      </c>
      <c r="P102" s="272">
        <f>IF(E102=6,I102,IF(E102&gt;0,MIN((VLOOKUP($E102,$A$232:$E$241,5,0)),(I102)),0))*(1-$T$2)</f>
        <v>0</v>
      </c>
      <c r="Q102" s="62">
        <f t="shared" si="15"/>
        <v>0</v>
      </c>
      <c r="R102" s="274" t="str">
        <f t="shared" si="16"/>
        <v/>
      </c>
      <c r="S102" s="269">
        <f>(IF(OR($B102=0,$C102=0,$D102=0),0,IF(OR($E102=0,($G102+$F102=0),$H102=0),0,MIN((VLOOKUP($E102,$A$232:$C$241,3,0))*(IF($E102=6,$P102,$O102))*((MIN((VLOOKUP($E102,$A$232:$E$241,5,0)),(IF($E102=6,$O102,$P102))))),MIN((VLOOKUP($E102,$A$232:$C$241,3,0)),($F102+$G102))*(IF($E102=6,$P102,((MIN((VLOOKUP($E102,$A$232:$E$241,5,0)),$P102)))))))))*$Q102</f>
        <v>0</v>
      </c>
      <c r="T102" s="101">
        <f t="shared" si="17"/>
        <v>0</v>
      </c>
      <c r="U102" s="122"/>
      <c r="V102" s="300"/>
      <c r="W102" s="131">
        <f t="shared" si="20"/>
        <v>0</v>
      </c>
      <c r="X102" s="62">
        <f t="shared" si="18"/>
        <v>0</v>
      </c>
      <c r="Y102" s="63" t="str">
        <f t="shared" si="11"/>
        <v/>
      </c>
      <c r="Z102" s="133">
        <f>(IF(OR($B102=0,$C102=0,$D102=0),0,IF(OR($E102=0,($G102+$F102=0),$H102=0),0,MIN((VLOOKUP($E102,$A$232:$C$241,3,0))*(IF($E102=6,$W102,$O102))*((MIN((VLOOKUP($E102,$A$232:$E$241,5,0)),(IF($E102=6,$O102,$W102))))),MIN((VLOOKUP($E102,$A$232:$C$241,3,0)),($F102+$G102))*(IF($E102=6,$W102,((MIN((VLOOKUP($E102,$A$232:$E$241,5,0)),$W102)))))))))*$X102</f>
        <v>0</v>
      </c>
      <c r="AA102" s="139">
        <f t="shared" si="12"/>
        <v>0</v>
      </c>
      <c r="AB102" s="126"/>
      <c r="AC102" s="295"/>
      <c r="AD102" s="295"/>
      <c r="AF102" s="359">
        <f t="shared" si="19"/>
        <v>0</v>
      </c>
    </row>
    <row r="103" spans="1:32" s="22" customFormat="1" ht="24.75" customHeight="1" outlineLevel="1" x14ac:dyDescent="0.2">
      <c r="A103" s="177">
        <v>100</v>
      </c>
      <c r="B103" s="325"/>
      <c r="C103" s="325"/>
      <c r="D103" s="325"/>
      <c r="E103" s="326"/>
      <c r="F103" s="327"/>
      <c r="G103" s="328"/>
      <c r="H103" s="329"/>
      <c r="I103" s="329"/>
      <c r="J103" s="330"/>
      <c r="K103" s="331">
        <f>(IF(OR($B103=0,$C103=0,$D103=0),0,IF(OR($E103=0,($G103+$F103=0),$H103=0),0,MIN((VLOOKUP($E103,$A$232:$C$241,3,0))*(IF($E103=6,$I103,$H103))*((MIN((VLOOKUP($E103,$A$232:$E$241,5,0)),(IF($E103=6,$H103,$I103))))),MIN((VLOOKUP($E103,$A$232:$C$241,3,0)),($F103+$G103))*(IF($E103=6,$I103,((MIN((VLOOKUP($E103,$A$232:$E$241,5,0)),$I103)))))))))*$J103</f>
        <v>0</v>
      </c>
      <c r="L103" s="332">
        <f t="shared" si="13"/>
        <v>0</v>
      </c>
      <c r="M103" s="333">
        <f t="shared" si="14"/>
        <v>0</v>
      </c>
      <c r="N103" s="277" t="str">
        <f>IF(E103&gt;0,MIN((VLOOKUP($E103,$A$232:$C$241,3,0)),($F103+$G103)),"")</f>
        <v/>
      </c>
      <c r="O103" s="273">
        <f>IF(E103=6,(MIN(VLOOKUP($E103,$A$232:$E$241,5,0),H103)),H103)</f>
        <v>0</v>
      </c>
      <c r="P103" s="272">
        <f>IF(E103=6,I103,IF(E103&gt;0,MIN((VLOOKUP($E103,$A$232:$E$241,5,0)),(I103)),0))*(1-$T$2)</f>
        <v>0</v>
      </c>
      <c r="Q103" s="62">
        <f t="shared" si="15"/>
        <v>0</v>
      </c>
      <c r="R103" s="274" t="str">
        <f t="shared" si="16"/>
        <v/>
      </c>
      <c r="S103" s="269">
        <f>(IF(OR($B103=0,$C103=0,$D103=0),0,IF(OR($E103=0,($G103+$F103=0),$H103=0),0,MIN((VLOOKUP($E103,$A$232:$C$241,3,0))*(IF($E103=6,$P103,$O103))*((MIN((VLOOKUP($E103,$A$232:$E$241,5,0)),(IF($E103=6,$O103,$P103))))),MIN((VLOOKUP($E103,$A$232:$C$241,3,0)),($F103+$G103))*(IF($E103=6,$P103,((MIN((VLOOKUP($E103,$A$232:$E$241,5,0)),$P103)))))))))*$Q103</f>
        <v>0</v>
      </c>
      <c r="T103" s="101">
        <f t="shared" si="17"/>
        <v>0</v>
      </c>
      <c r="U103" s="122"/>
      <c r="V103" s="300"/>
      <c r="W103" s="131">
        <f t="shared" si="20"/>
        <v>0</v>
      </c>
      <c r="X103" s="62">
        <f t="shared" si="18"/>
        <v>0</v>
      </c>
      <c r="Y103" s="63" t="str">
        <f t="shared" si="11"/>
        <v/>
      </c>
      <c r="Z103" s="133">
        <f>(IF(OR($B103=0,$C103=0,$D103=0),0,IF(OR($E103=0,($G103+$F103=0),$H103=0),0,MIN((VLOOKUP($E103,$A$232:$C$241,3,0))*(IF($E103=6,$W103,$O103))*((MIN((VLOOKUP($E103,$A$232:$E$241,5,0)),(IF($E103=6,$O103,$W103))))),MIN((VLOOKUP($E103,$A$232:$C$241,3,0)),($F103+$G103))*(IF($E103=6,$W103,((MIN((VLOOKUP($E103,$A$232:$E$241,5,0)),$W103)))))))))*$X103</f>
        <v>0</v>
      </c>
      <c r="AA103" s="139">
        <f t="shared" si="12"/>
        <v>0</v>
      </c>
      <c r="AB103" s="126"/>
      <c r="AC103" s="295"/>
      <c r="AD103" s="295"/>
      <c r="AF103" s="359">
        <f t="shared" si="19"/>
        <v>0</v>
      </c>
    </row>
    <row r="104" spans="1:32" s="22" customFormat="1" ht="24.75" customHeight="1" outlineLevel="1" x14ac:dyDescent="0.2">
      <c r="A104" s="177">
        <v>101</v>
      </c>
      <c r="B104" s="325"/>
      <c r="C104" s="325"/>
      <c r="D104" s="325"/>
      <c r="E104" s="326"/>
      <c r="F104" s="327"/>
      <c r="G104" s="328"/>
      <c r="H104" s="329"/>
      <c r="I104" s="329"/>
      <c r="J104" s="330"/>
      <c r="K104" s="331">
        <f>(IF(OR($B104=0,$C104=0,$D104=0),0,IF(OR($E104=0,($G104+$F104=0),$H104=0),0,MIN((VLOOKUP($E104,$A$232:$C$241,3,0))*(IF($E104=6,$I104,$H104))*((MIN((VLOOKUP($E104,$A$232:$E$241,5,0)),(IF($E104=6,$H104,$I104))))),MIN((VLOOKUP($E104,$A$232:$C$241,3,0)),($F104+$G104))*(IF($E104=6,$I104,((MIN((VLOOKUP($E104,$A$232:$E$241,5,0)),$I104)))))))))*$J104</f>
        <v>0</v>
      </c>
      <c r="L104" s="332">
        <f t="shared" si="13"/>
        <v>0</v>
      </c>
      <c r="M104" s="333">
        <f t="shared" si="14"/>
        <v>0</v>
      </c>
      <c r="N104" s="277" t="str">
        <f>IF(E104&gt;0,MIN((VLOOKUP($E104,$A$232:$C$241,3,0)),($F104+$G104)),"")</f>
        <v/>
      </c>
      <c r="O104" s="273">
        <f>IF(E104=6,(MIN(VLOOKUP($E104,$A$232:$E$241,5,0),H104)),H104)</f>
        <v>0</v>
      </c>
      <c r="P104" s="272">
        <f>IF(E104=6,I104,IF(E104&gt;0,MIN((VLOOKUP($E104,$A$232:$E$241,5,0)),(I104)),0))*(1-$T$2)</f>
        <v>0</v>
      </c>
      <c r="Q104" s="62">
        <f t="shared" si="15"/>
        <v>0</v>
      </c>
      <c r="R104" s="274" t="str">
        <f t="shared" si="16"/>
        <v/>
      </c>
      <c r="S104" s="269">
        <f>(IF(OR($B104=0,$C104=0,$D104=0),0,IF(OR($E104=0,($G104+$F104=0),$H104=0),0,MIN((VLOOKUP($E104,$A$232:$C$241,3,0))*(IF($E104=6,$P104,$O104))*((MIN((VLOOKUP($E104,$A$232:$E$241,5,0)),(IF($E104=6,$O104,$P104))))),MIN((VLOOKUP($E104,$A$232:$C$241,3,0)),($F104+$G104))*(IF($E104=6,$P104,((MIN((VLOOKUP($E104,$A$232:$E$241,5,0)),$P104)))))))))*$Q104</f>
        <v>0</v>
      </c>
      <c r="T104" s="101">
        <f t="shared" si="17"/>
        <v>0</v>
      </c>
      <c r="U104" s="122"/>
      <c r="V104" s="300"/>
      <c r="W104" s="131">
        <f t="shared" si="20"/>
        <v>0</v>
      </c>
      <c r="X104" s="62">
        <f t="shared" si="18"/>
        <v>0</v>
      </c>
      <c r="Y104" s="63" t="str">
        <f t="shared" si="11"/>
        <v/>
      </c>
      <c r="Z104" s="133">
        <f>(IF(OR($B104=0,$C104=0,$D104=0),0,IF(OR($E104=0,($G104+$F104=0),$H104=0),0,MIN((VLOOKUP($E104,$A$232:$C$241,3,0))*(IF($E104=6,$W104,$O104))*((MIN((VLOOKUP($E104,$A$232:$E$241,5,0)),(IF($E104=6,$O104,$W104))))),MIN((VLOOKUP($E104,$A$232:$C$241,3,0)),($F104+$G104))*(IF($E104=6,$W104,((MIN((VLOOKUP($E104,$A$232:$E$241,5,0)),$W104)))))))))*$X104</f>
        <v>0</v>
      </c>
      <c r="AA104" s="139">
        <f t="shared" si="12"/>
        <v>0</v>
      </c>
      <c r="AB104" s="126"/>
      <c r="AC104" s="295"/>
      <c r="AD104" s="295"/>
      <c r="AF104" s="359">
        <f t="shared" si="19"/>
        <v>0</v>
      </c>
    </row>
    <row r="105" spans="1:32" s="22" customFormat="1" ht="24.75" customHeight="1" outlineLevel="1" x14ac:dyDescent="0.2">
      <c r="A105" s="177">
        <v>102</v>
      </c>
      <c r="B105" s="325"/>
      <c r="C105" s="325"/>
      <c r="D105" s="325"/>
      <c r="E105" s="326"/>
      <c r="F105" s="327"/>
      <c r="G105" s="328"/>
      <c r="H105" s="329"/>
      <c r="I105" s="329"/>
      <c r="J105" s="330"/>
      <c r="K105" s="331">
        <f>(IF(OR($B105=0,$C105=0,$D105=0),0,IF(OR($E105=0,($G105+$F105=0),$H105=0),0,MIN((VLOOKUP($E105,$A$232:$C$241,3,0))*(IF($E105=6,$I105,$H105))*((MIN((VLOOKUP($E105,$A$232:$E$241,5,0)),(IF($E105=6,$H105,$I105))))),MIN((VLOOKUP($E105,$A$232:$C$241,3,0)),($F105+$G105))*(IF($E105=6,$I105,((MIN((VLOOKUP($E105,$A$232:$E$241,5,0)),$I105)))))))))*$J105</f>
        <v>0</v>
      </c>
      <c r="L105" s="332">
        <f t="shared" si="13"/>
        <v>0</v>
      </c>
      <c r="M105" s="333">
        <f t="shared" si="14"/>
        <v>0</v>
      </c>
      <c r="N105" s="277" t="str">
        <f>IF(E105&gt;0,MIN((VLOOKUP($E105,$A$232:$C$241,3,0)),($F105+$G105)),"")</f>
        <v/>
      </c>
      <c r="O105" s="273">
        <f>IF(E105=6,(MIN(VLOOKUP($E105,$A$232:$E$241,5,0),H105)),H105)</f>
        <v>0</v>
      </c>
      <c r="P105" s="272">
        <f>IF(E105=6,I105,IF(E105&gt;0,MIN((VLOOKUP($E105,$A$232:$E$241,5,0)),(I105)),0))*(1-$T$2)</f>
        <v>0</v>
      </c>
      <c r="Q105" s="62">
        <f t="shared" si="15"/>
        <v>0</v>
      </c>
      <c r="R105" s="274" t="str">
        <f t="shared" si="16"/>
        <v/>
      </c>
      <c r="S105" s="269">
        <f>(IF(OR($B105=0,$C105=0,$D105=0),0,IF(OR($E105=0,($G105+$F105=0),$H105=0),0,MIN((VLOOKUP($E105,$A$232:$C$241,3,0))*(IF($E105=6,$P105,$O105))*((MIN((VLOOKUP($E105,$A$232:$E$241,5,0)),(IF($E105=6,$O105,$P105))))),MIN((VLOOKUP($E105,$A$232:$C$241,3,0)),($F105+$G105))*(IF($E105=6,$P105,((MIN((VLOOKUP($E105,$A$232:$E$241,5,0)),$P105)))))))))*$Q105</f>
        <v>0</v>
      </c>
      <c r="T105" s="101">
        <f t="shared" si="17"/>
        <v>0</v>
      </c>
      <c r="U105" s="122"/>
      <c r="V105" s="300"/>
      <c r="W105" s="131">
        <f t="shared" si="20"/>
        <v>0</v>
      </c>
      <c r="X105" s="62">
        <f t="shared" si="18"/>
        <v>0</v>
      </c>
      <c r="Y105" s="63" t="str">
        <f t="shared" si="11"/>
        <v/>
      </c>
      <c r="Z105" s="133">
        <f>(IF(OR($B105=0,$C105=0,$D105=0),0,IF(OR($E105=0,($G105+$F105=0),$H105=0),0,MIN((VLOOKUP($E105,$A$232:$C$241,3,0))*(IF($E105=6,$W105,$O105))*((MIN((VLOOKUP($E105,$A$232:$E$241,5,0)),(IF($E105=6,$O105,$W105))))),MIN((VLOOKUP($E105,$A$232:$C$241,3,0)),($F105+$G105))*(IF($E105=6,$W105,((MIN((VLOOKUP($E105,$A$232:$E$241,5,0)),$W105)))))))))*$X105</f>
        <v>0</v>
      </c>
      <c r="AA105" s="139">
        <f t="shared" si="12"/>
        <v>0</v>
      </c>
      <c r="AB105" s="126"/>
      <c r="AC105" s="295"/>
      <c r="AD105" s="295"/>
      <c r="AF105" s="359">
        <f t="shared" si="19"/>
        <v>0</v>
      </c>
    </row>
    <row r="106" spans="1:32" s="22" customFormat="1" ht="24.75" customHeight="1" outlineLevel="1" x14ac:dyDescent="0.2">
      <c r="A106" s="177">
        <v>103</v>
      </c>
      <c r="B106" s="325"/>
      <c r="C106" s="325"/>
      <c r="D106" s="325"/>
      <c r="E106" s="326"/>
      <c r="F106" s="327"/>
      <c r="G106" s="328"/>
      <c r="H106" s="329"/>
      <c r="I106" s="329"/>
      <c r="J106" s="330"/>
      <c r="K106" s="331">
        <f>(IF(OR($B106=0,$C106=0,$D106=0),0,IF(OR($E106=0,($G106+$F106=0),$H106=0),0,MIN((VLOOKUP($E106,$A$232:$C$241,3,0))*(IF($E106=6,$I106,$H106))*((MIN((VLOOKUP($E106,$A$232:$E$241,5,0)),(IF($E106=6,$H106,$I106))))),MIN((VLOOKUP($E106,$A$232:$C$241,3,0)),($F106+$G106))*(IF($E106=6,$I106,((MIN((VLOOKUP($E106,$A$232:$E$241,5,0)),$I106)))))))))*$J106</f>
        <v>0</v>
      </c>
      <c r="L106" s="332">
        <f t="shared" si="13"/>
        <v>0</v>
      </c>
      <c r="M106" s="333">
        <f t="shared" si="14"/>
        <v>0</v>
      </c>
      <c r="N106" s="277" t="str">
        <f>IF(E106&gt;0,MIN((VLOOKUP($E106,$A$232:$C$241,3,0)),($F106+$G106)),"")</f>
        <v/>
      </c>
      <c r="O106" s="273">
        <f>IF(E106=6,(MIN(VLOOKUP($E106,$A$232:$E$241,5,0),H106)),H106)</f>
        <v>0</v>
      </c>
      <c r="P106" s="272">
        <f>IF(E106=6,I106,IF(E106&gt;0,MIN((VLOOKUP($E106,$A$232:$E$241,5,0)),(I106)),0))*(1-$T$2)</f>
        <v>0</v>
      </c>
      <c r="Q106" s="62">
        <f t="shared" si="15"/>
        <v>0</v>
      </c>
      <c r="R106" s="274" t="str">
        <f t="shared" si="16"/>
        <v/>
      </c>
      <c r="S106" s="269">
        <f>(IF(OR($B106=0,$C106=0,$D106=0),0,IF(OR($E106=0,($G106+$F106=0),$H106=0),0,MIN((VLOOKUP($E106,$A$232:$C$241,3,0))*(IF($E106=6,$P106,$O106))*((MIN((VLOOKUP($E106,$A$232:$E$241,5,0)),(IF($E106=6,$O106,$P106))))),MIN((VLOOKUP($E106,$A$232:$C$241,3,0)),($F106+$G106))*(IF($E106=6,$P106,((MIN((VLOOKUP($E106,$A$232:$E$241,5,0)),$P106)))))))))*$Q106</f>
        <v>0</v>
      </c>
      <c r="T106" s="101">
        <f t="shared" si="17"/>
        <v>0</v>
      </c>
      <c r="U106" s="122"/>
      <c r="V106" s="300"/>
      <c r="W106" s="131">
        <f t="shared" si="20"/>
        <v>0</v>
      </c>
      <c r="X106" s="62">
        <f t="shared" si="18"/>
        <v>0</v>
      </c>
      <c r="Y106" s="63" t="str">
        <f t="shared" si="11"/>
        <v/>
      </c>
      <c r="Z106" s="133">
        <f>(IF(OR($B106=0,$C106=0,$D106=0),0,IF(OR($E106=0,($G106+$F106=0),$H106=0),0,MIN((VLOOKUP($E106,$A$232:$C$241,3,0))*(IF($E106=6,$W106,$O106))*((MIN((VLOOKUP($E106,$A$232:$E$241,5,0)),(IF($E106=6,$O106,$W106))))),MIN((VLOOKUP($E106,$A$232:$C$241,3,0)),($F106+$G106))*(IF($E106=6,$W106,((MIN((VLOOKUP($E106,$A$232:$E$241,5,0)),$W106)))))))))*$X106</f>
        <v>0</v>
      </c>
      <c r="AA106" s="139">
        <f t="shared" si="12"/>
        <v>0</v>
      </c>
      <c r="AB106" s="126"/>
      <c r="AC106" s="295"/>
      <c r="AD106" s="295"/>
      <c r="AF106" s="359">
        <f t="shared" si="19"/>
        <v>0</v>
      </c>
    </row>
    <row r="107" spans="1:32" s="22" customFormat="1" ht="24.75" customHeight="1" outlineLevel="1" x14ac:dyDescent="0.2">
      <c r="A107" s="177">
        <v>104</v>
      </c>
      <c r="B107" s="325"/>
      <c r="C107" s="325"/>
      <c r="D107" s="325"/>
      <c r="E107" s="326"/>
      <c r="F107" s="327"/>
      <c r="G107" s="328"/>
      <c r="H107" s="329"/>
      <c r="I107" s="329"/>
      <c r="J107" s="330"/>
      <c r="K107" s="331">
        <f>(IF(OR($B107=0,$C107=0,$D107=0),0,IF(OR($E107=0,($G107+$F107=0),$H107=0),0,MIN((VLOOKUP($E107,$A$232:$C$241,3,0))*(IF($E107=6,$I107,$H107))*((MIN((VLOOKUP($E107,$A$232:$E$241,5,0)),(IF($E107=6,$H107,$I107))))),MIN((VLOOKUP($E107,$A$232:$C$241,3,0)),($F107+$G107))*(IF($E107=6,$I107,((MIN((VLOOKUP($E107,$A$232:$E$241,5,0)),$I107)))))))))*$J107</f>
        <v>0</v>
      </c>
      <c r="L107" s="332">
        <f t="shared" si="13"/>
        <v>0</v>
      </c>
      <c r="M107" s="333">
        <f t="shared" si="14"/>
        <v>0</v>
      </c>
      <c r="N107" s="277" t="str">
        <f>IF(E107&gt;0,MIN((VLOOKUP($E107,$A$232:$C$241,3,0)),($F107+$G107)),"")</f>
        <v/>
      </c>
      <c r="O107" s="273">
        <f>IF(E107=6,(MIN(VLOOKUP($E107,$A$232:$E$241,5,0),H107)),H107)</f>
        <v>0</v>
      </c>
      <c r="P107" s="272">
        <f>IF(E107=6,I107,IF(E107&gt;0,MIN((VLOOKUP($E107,$A$232:$E$241,5,0)),(I107)),0))*(1-$T$2)</f>
        <v>0</v>
      </c>
      <c r="Q107" s="62">
        <f t="shared" si="15"/>
        <v>0</v>
      </c>
      <c r="R107" s="274" t="str">
        <f t="shared" si="16"/>
        <v/>
      </c>
      <c r="S107" s="269">
        <f>(IF(OR($B107=0,$C107=0,$D107=0),0,IF(OR($E107=0,($G107+$F107=0),$H107=0),0,MIN((VLOOKUP($E107,$A$232:$C$241,3,0))*(IF($E107=6,$P107,$O107))*((MIN((VLOOKUP($E107,$A$232:$E$241,5,0)),(IF($E107=6,$O107,$P107))))),MIN((VLOOKUP($E107,$A$232:$C$241,3,0)),($F107+$G107))*(IF($E107=6,$P107,((MIN((VLOOKUP($E107,$A$232:$E$241,5,0)),$P107)))))))))*$Q107</f>
        <v>0</v>
      </c>
      <c r="T107" s="101">
        <f t="shared" si="17"/>
        <v>0</v>
      </c>
      <c r="U107" s="122"/>
      <c r="V107" s="300"/>
      <c r="W107" s="131">
        <f t="shared" si="20"/>
        <v>0</v>
      </c>
      <c r="X107" s="62">
        <f t="shared" si="18"/>
        <v>0</v>
      </c>
      <c r="Y107" s="63" t="str">
        <f t="shared" si="11"/>
        <v/>
      </c>
      <c r="Z107" s="133">
        <f>(IF(OR($B107=0,$C107=0,$D107=0),0,IF(OR($E107=0,($G107+$F107=0),$H107=0),0,MIN((VLOOKUP($E107,$A$232:$C$241,3,0))*(IF($E107=6,$W107,$O107))*((MIN((VLOOKUP($E107,$A$232:$E$241,5,0)),(IF($E107=6,$O107,$W107))))),MIN((VLOOKUP($E107,$A$232:$C$241,3,0)),($F107+$G107))*(IF($E107=6,$W107,((MIN((VLOOKUP($E107,$A$232:$E$241,5,0)),$W107)))))))))*$X107</f>
        <v>0</v>
      </c>
      <c r="AA107" s="139">
        <f t="shared" si="12"/>
        <v>0</v>
      </c>
      <c r="AB107" s="126"/>
      <c r="AC107" s="295"/>
      <c r="AD107" s="295"/>
      <c r="AF107" s="359">
        <f t="shared" si="19"/>
        <v>0</v>
      </c>
    </row>
    <row r="108" spans="1:32" s="22" customFormat="1" ht="24.75" customHeight="1" outlineLevel="1" x14ac:dyDescent="0.2">
      <c r="A108" s="177">
        <v>105</v>
      </c>
      <c r="B108" s="325"/>
      <c r="C108" s="325"/>
      <c r="D108" s="325"/>
      <c r="E108" s="326"/>
      <c r="F108" s="327"/>
      <c r="G108" s="328"/>
      <c r="H108" s="329"/>
      <c r="I108" s="329"/>
      <c r="J108" s="330"/>
      <c r="K108" s="331">
        <f>(IF(OR($B108=0,$C108=0,$D108=0),0,IF(OR($E108=0,($G108+$F108=0),$H108=0),0,MIN((VLOOKUP($E108,$A$232:$C$241,3,0))*(IF($E108=6,$I108,$H108))*((MIN((VLOOKUP($E108,$A$232:$E$241,5,0)),(IF($E108=6,$H108,$I108))))),MIN((VLOOKUP($E108,$A$232:$C$241,3,0)),($F108+$G108))*(IF($E108=6,$I108,((MIN((VLOOKUP($E108,$A$232:$E$241,5,0)),$I108)))))))))*$J108</f>
        <v>0</v>
      </c>
      <c r="L108" s="332">
        <f t="shared" si="13"/>
        <v>0</v>
      </c>
      <c r="M108" s="333">
        <f t="shared" si="14"/>
        <v>0</v>
      </c>
      <c r="N108" s="277" t="str">
        <f>IF(E108&gt;0,MIN((VLOOKUP($E108,$A$232:$C$241,3,0)),($F108+$G108)),"")</f>
        <v/>
      </c>
      <c r="O108" s="273">
        <f>IF(E108=6,(MIN(VLOOKUP($E108,$A$232:$E$241,5,0),H108)),H108)</f>
        <v>0</v>
      </c>
      <c r="P108" s="272">
        <f>IF(E108=6,I108,IF(E108&gt;0,MIN((VLOOKUP($E108,$A$232:$E$241,5,0)),(I108)),0))*(1-$T$2)</f>
        <v>0</v>
      </c>
      <c r="Q108" s="62">
        <f t="shared" si="15"/>
        <v>0</v>
      </c>
      <c r="R108" s="274" t="str">
        <f t="shared" si="16"/>
        <v/>
      </c>
      <c r="S108" s="269">
        <f>(IF(OR($B108=0,$C108=0,$D108=0),0,IF(OR($E108=0,($G108+$F108=0),$H108=0),0,MIN((VLOOKUP($E108,$A$232:$C$241,3,0))*(IF($E108=6,$P108,$O108))*((MIN((VLOOKUP($E108,$A$232:$E$241,5,0)),(IF($E108=6,$O108,$P108))))),MIN((VLOOKUP($E108,$A$232:$C$241,3,0)),($F108+$G108))*(IF($E108=6,$P108,((MIN((VLOOKUP($E108,$A$232:$E$241,5,0)),$P108)))))))))*$Q108</f>
        <v>0</v>
      </c>
      <c r="T108" s="101">
        <f t="shared" si="17"/>
        <v>0</v>
      </c>
      <c r="U108" s="122"/>
      <c r="V108" s="300"/>
      <c r="W108" s="131">
        <f t="shared" si="20"/>
        <v>0</v>
      </c>
      <c r="X108" s="62">
        <f t="shared" si="18"/>
        <v>0</v>
      </c>
      <c r="Y108" s="63" t="str">
        <f t="shared" si="11"/>
        <v/>
      </c>
      <c r="Z108" s="133">
        <f>(IF(OR($B108=0,$C108=0,$D108=0),0,IF(OR($E108=0,($G108+$F108=0),$H108=0),0,MIN((VLOOKUP($E108,$A$232:$C$241,3,0))*(IF($E108=6,$W108,$O108))*((MIN((VLOOKUP($E108,$A$232:$E$241,5,0)),(IF($E108=6,$O108,$W108))))),MIN((VLOOKUP($E108,$A$232:$C$241,3,0)),($F108+$G108))*(IF($E108=6,$W108,((MIN((VLOOKUP($E108,$A$232:$E$241,5,0)),$W108)))))))))*$X108</f>
        <v>0</v>
      </c>
      <c r="AA108" s="139">
        <f t="shared" si="12"/>
        <v>0</v>
      </c>
      <c r="AB108" s="126"/>
      <c r="AC108" s="295"/>
      <c r="AD108" s="295"/>
      <c r="AF108" s="359">
        <f t="shared" si="19"/>
        <v>0</v>
      </c>
    </row>
    <row r="109" spans="1:32" s="22" customFormat="1" ht="24.75" customHeight="1" outlineLevel="1" x14ac:dyDescent="0.2">
      <c r="A109" s="177">
        <v>106</v>
      </c>
      <c r="B109" s="325"/>
      <c r="C109" s="325"/>
      <c r="D109" s="325"/>
      <c r="E109" s="326"/>
      <c r="F109" s="327"/>
      <c r="G109" s="328"/>
      <c r="H109" s="329"/>
      <c r="I109" s="329"/>
      <c r="J109" s="330"/>
      <c r="K109" s="331">
        <f>(IF(OR($B109=0,$C109=0,$D109=0),0,IF(OR($E109=0,($G109+$F109=0),$H109=0),0,MIN((VLOOKUP($E109,$A$232:$C$241,3,0))*(IF($E109=6,$I109,$H109))*((MIN((VLOOKUP($E109,$A$232:$E$241,5,0)),(IF($E109=6,$H109,$I109))))),MIN((VLOOKUP($E109,$A$232:$C$241,3,0)),($F109+$G109))*(IF($E109=6,$I109,((MIN((VLOOKUP($E109,$A$232:$E$241,5,0)),$I109)))))))))*$J109</f>
        <v>0</v>
      </c>
      <c r="L109" s="332">
        <f t="shared" si="13"/>
        <v>0</v>
      </c>
      <c r="M109" s="333">
        <f t="shared" si="14"/>
        <v>0</v>
      </c>
      <c r="N109" s="277" t="str">
        <f>IF(E109&gt;0,MIN((VLOOKUP($E109,$A$232:$C$241,3,0)),($F109+$G109)),"")</f>
        <v/>
      </c>
      <c r="O109" s="273">
        <f>IF(E109=6,(MIN(VLOOKUP($E109,$A$232:$E$241,5,0),H109)),H109)</f>
        <v>0</v>
      </c>
      <c r="P109" s="272">
        <f>IF(E109=6,I109,IF(E109&gt;0,MIN((VLOOKUP($E109,$A$232:$E$241,5,0)),(I109)),0))*(1-$T$2)</f>
        <v>0</v>
      </c>
      <c r="Q109" s="62">
        <f t="shared" si="15"/>
        <v>0</v>
      </c>
      <c r="R109" s="274" t="str">
        <f t="shared" si="16"/>
        <v/>
      </c>
      <c r="S109" s="269">
        <f>(IF(OR($B109=0,$C109=0,$D109=0),0,IF(OR($E109=0,($G109+$F109=0),$H109=0),0,MIN((VLOOKUP($E109,$A$232:$C$241,3,0))*(IF($E109=6,$P109,$O109))*((MIN((VLOOKUP($E109,$A$232:$E$241,5,0)),(IF($E109=6,$O109,$P109))))),MIN((VLOOKUP($E109,$A$232:$C$241,3,0)),($F109+$G109))*(IF($E109=6,$P109,((MIN((VLOOKUP($E109,$A$232:$E$241,5,0)),$P109)))))))))*$Q109</f>
        <v>0</v>
      </c>
      <c r="T109" s="101">
        <f t="shared" si="17"/>
        <v>0</v>
      </c>
      <c r="U109" s="122"/>
      <c r="V109" s="300"/>
      <c r="W109" s="131">
        <f t="shared" si="20"/>
        <v>0</v>
      </c>
      <c r="X109" s="62">
        <f t="shared" si="18"/>
        <v>0</v>
      </c>
      <c r="Y109" s="63" t="str">
        <f t="shared" si="11"/>
        <v/>
      </c>
      <c r="Z109" s="133">
        <f>(IF(OR($B109=0,$C109=0,$D109=0),0,IF(OR($E109=0,($G109+$F109=0),$H109=0),0,MIN((VLOOKUP($E109,$A$232:$C$241,3,0))*(IF($E109=6,$W109,$O109))*((MIN((VLOOKUP($E109,$A$232:$E$241,5,0)),(IF($E109=6,$O109,$W109))))),MIN((VLOOKUP($E109,$A$232:$C$241,3,0)),($F109+$G109))*(IF($E109=6,$W109,((MIN((VLOOKUP($E109,$A$232:$E$241,5,0)),$W109)))))))))*$X109</f>
        <v>0</v>
      </c>
      <c r="AA109" s="139">
        <f t="shared" si="12"/>
        <v>0</v>
      </c>
      <c r="AB109" s="126"/>
      <c r="AC109" s="295"/>
      <c r="AD109" s="295"/>
      <c r="AF109" s="359">
        <f t="shared" si="19"/>
        <v>0</v>
      </c>
    </row>
    <row r="110" spans="1:32" s="22" customFormat="1" ht="24.75" customHeight="1" outlineLevel="1" x14ac:dyDescent="0.2">
      <c r="A110" s="177">
        <v>107</v>
      </c>
      <c r="B110" s="325"/>
      <c r="C110" s="325"/>
      <c r="D110" s="325"/>
      <c r="E110" s="326"/>
      <c r="F110" s="327"/>
      <c r="G110" s="328"/>
      <c r="H110" s="329"/>
      <c r="I110" s="329"/>
      <c r="J110" s="330"/>
      <c r="K110" s="331">
        <f>(IF(OR($B110=0,$C110=0,$D110=0),0,IF(OR($E110=0,($G110+$F110=0),$H110=0),0,MIN((VLOOKUP($E110,$A$232:$C$241,3,0))*(IF($E110=6,$I110,$H110))*((MIN((VLOOKUP($E110,$A$232:$E$241,5,0)),(IF($E110=6,$H110,$I110))))),MIN((VLOOKUP($E110,$A$232:$C$241,3,0)),($F110+$G110))*(IF($E110=6,$I110,((MIN((VLOOKUP($E110,$A$232:$E$241,5,0)),$I110)))))))))*$J110</f>
        <v>0</v>
      </c>
      <c r="L110" s="332">
        <f t="shared" si="13"/>
        <v>0</v>
      </c>
      <c r="M110" s="333">
        <f t="shared" si="14"/>
        <v>0</v>
      </c>
      <c r="N110" s="277" t="str">
        <f>IF(E110&gt;0,MIN((VLOOKUP($E110,$A$232:$C$241,3,0)),($F110+$G110)),"")</f>
        <v/>
      </c>
      <c r="O110" s="273">
        <f>IF(E110=6,(MIN(VLOOKUP($E110,$A$232:$E$241,5,0),H110)),H110)</f>
        <v>0</v>
      </c>
      <c r="P110" s="272">
        <f>IF(E110=6,I110,IF(E110&gt;0,MIN((VLOOKUP($E110,$A$232:$E$241,5,0)),(I110)),0))*(1-$T$2)</f>
        <v>0</v>
      </c>
      <c r="Q110" s="62">
        <f t="shared" si="15"/>
        <v>0</v>
      </c>
      <c r="R110" s="274" t="str">
        <f t="shared" si="16"/>
        <v/>
      </c>
      <c r="S110" s="269">
        <f>(IF(OR($B110=0,$C110=0,$D110=0),0,IF(OR($E110=0,($G110+$F110=0),$H110=0),0,MIN((VLOOKUP($E110,$A$232:$C$241,3,0))*(IF($E110=6,$P110,$O110))*((MIN((VLOOKUP($E110,$A$232:$E$241,5,0)),(IF($E110=6,$O110,$P110))))),MIN((VLOOKUP($E110,$A$232:$C$241,3,0)),($F110+$G110))*(IF($E110=6,$P110,((MIN((VLOOKUP($E110,$A$232:$E$241,5,0)),$P110)))))))))*$Q110</f>
        <v>0</v>
      </c>
      <c r="T110" s="101">
        <f t="shared" si="17"/>
        <v>0</v>
      </c>
      <c r="U110" s="122"/>
      <c r="V110" s="300"/>
      <c r="W110" s="131">
        <f t="shared" si="20"/>
        <v>0</v>
      </c>
      <c r="X110" s="62">
        <f t="shared" si="18"/>
        <v>0</v>
      </c>
      <c r="Y110" s="63" t="str">
        <f t="shared" si="11"/>
        <v/>
      </c>
      <c r="Z110" s="133">
        <f>(IF(OR($B110=0,$C110=0,$D110=0),0,IF(OR($E110=0,($G110+$F110=0),$H110=0),0,MIN((VLOOKUP($E110,$A$232:$C$241,3,0))*(IF($E110=6,$W110,$O110))*((MIN((VLOOKUP($E110,$A$232:$E$241,5,0)),(IF($E110=6,$O110,$W110))))),MIN((VLOOKUP($E110,$A$232:$C$241,3,0)),($F110+$G110))*(IF($E110=6,$W110,((MIN((VLOOKUP($E110,$A$232:$E$241,5,0)),$W110)))))))))*$X110</f>
        <v>0</v>
      </c>
      <c r="AA110" s="139">
        <f t="shared" si="12"/>
        <v>0</v>
      </c>
      <c r="AB110" s="126"/>
      <c r="AC110" s="295"/>
      <c r="AD110" s="295"/>
      <c r="AF110" s="359">
        <f t="shared" si="19"/>
        <v>0</v>
      </c>
    </row>
    <row r="111" spans="1:32" s="22" customFormat="1" ht="24.75" customHeight="1" outlineLevel="1" x14ac:dyDescent="0.2">
      <c r="A111" s="177">
        <v>108</v>
      </c>
      <c r="B111" s="325"/>
      <c r="C111" s="325"/>
      <c r="D111" s="325"/>
      <c r="E111" s="326"/>
      <c r="F111" s="327"/>
      <c r="G111" s="328"/>
      <c r="H111" s="329"/>
      <c r="I111" s="329"/>
      <c r="J111" s="330"/>
      <c r="K111" s="331">
        <f>(IF(OR($B111=0,$C111=0,$D111=0),0,IF(OR($E111=0,($G111+$F111=0),$H111=0),0,MIN((VLOOKUP($E111,$A$232:$C$241,3,0))*(IF($E111=6,$I111,$H111))*((MIN((VLOOKUP($E111,$A$232:$E$241,5,0)),(IF($E111=6,$H111,$I111))))),MIN((VLOOKUP($E111,$A$232:$C$241,3,0)),($F111+$G111))*(IF($E111=6,$I111,((MIN((VLOOKUP($E111,$A$232:$E$241,5,0)),$I111)))))))))*$J111</f>
        <v>0</v>
      </c>
      <c r="L111" s="332">
        <f t="shared" si="13"/>
        <v>0</v>
      </c>
      <c r="M111" s="333">
        <f t="shared" si="14"/>
        <v>0</v>
      </c>
      <c r="N111" s="277" t="str">
        <f>IF(E111&gt;0,MIN((VLOOKUP($E111,$A$232:$C$241,3,0)),($F111+$G111)),"")</f>
        <v/>
      </c>
      <c r="O111" s="273">
        <f>IF(E111=6,(MIN(VLOOKUP($E111,$A$232:$E$241,5,0),H111)),H111)</f>
        <v>0</v>
      </c>
      <c r="P111" s="272">
        <f>IF(E111=6,I111,IF(E111&gt;0,MIN((VLOOKUP($E111,$A$232:$E$241,5,0)),(I111)),0))*(1-$T$2)</f>
        <v>0</v>
      </c>
      <c r="Q111" s="62">
        <f t="shared" si="15"/>
        <v>0</v>
      </c>
      <c r="R111" s="274" t="str">
        <f t="shared" si="16"/>
        <v/>
      </c>
      <c r="S111" s="269">
        <f>(IF(OR($B111=0,$C111=0,$D111=0),0,IF(OR($E111=0,($G111+$F111=0),$H111=0),0,MIN((VLOOKUP($E111,$A$232:$C$241,3,0))*(IF($E111=6,$P111,$O111))*((MIN((VLOOKUP($E111,$A$232:$E$241,5,0)),(IF($E111=6,$O111,$P111))))),MIN((VLOOKUP($E111,$A$232:$C$241,3,0)),($F111+$G111))*(IF($E111=6,$P111,((MIN((VLOOKUP($E111,$A$232:$E$241,5,0)),$P111)))))))))*$Q111</f>
        <v>0</v>
      </c>
      <c r="T111" s="101">
        <f t="shared" si="17"/>
        <v>0</v>
      </c>
      <c r="U111" s="122"/>
      <c r="V111" s="300"/>
      <c r="W111" s="131">
        <f t="shared" si="20"/>
        <v>0</v>
      </c>
      <c r="X111" s="62">
        <f t="shared" si="18"/>
        <v>0</v>
      </c>
      <c r="Y111" s="63" t="str">
        <f t="shared" si="11"/>
        <v/>
      </c>
      <c r="Z111" s="133">
        <f>(IF(OR($B111=0,$C111=0,$D111=0),0,IF(OR($E111=0,($G111+$F111=0),$H111=0),0,MIN((VLOOKUP($E111,$A$232:$C$241,3,0))*(IF($E111=6,$W111,$O111))*((MIN((VLOOKUP($E111,$A$232:$E$241,5,0)),(IF($E111=6,$O111,$W111))))),MIN((VLOOKUP($E111,$A$232:$C$241,3,0)),($F111+$G111))*(IF($E111=6,$W111,((MIN((VLOOKUP($E111,$A$232:$E$241,5,0)),$W111)))))))))*$X111</f>
        <v>0</v>
      </c>
      <c r="AA111" s="139">
        <f t="shared" si="12"/>
        <v>0</v>
      </c>
      <c r="AB111" s="126"/>
      <c r="AC111" s="295"/>
      <c r="AD111" s="295"/>
      <c r="AF111" s="359">
        <f t="shared" si="19"/>
        <v>0</v>
      </c>
    </row>
    <row r="112" spans="1:32" s="22" customFormat="1" ht="24.75" customHeight="1" outlineLevel="1" x14ac:dyDescent="0.2">
      <c r="A112" s="177">
        <v>109</v>
      </c>
      <c r="B112" s="325"/>
      <c r="C112" s="325"/>
      <c r="D112" s="325"/>
      <c r="E112" s="326"/>
      <c r="F112" s="327"/>
      <c r="G112" s="328"/>
      <c r="H112" s="329"/>
      <c r="I112" s="329"/>
      <c r="J112" s="330"/>
      <c r="K112" s="331">
        <f>(IF(OR($B112=0,$C112=0,$D112=0),0,IF(OR($E112=0,($G112+$F112=0),$H112=0),0,MIN((VLOOKUP($E112,$A$232:$C$241,3,0))*(IF($E112=6,$I112,$H112))*((MIN((VLOOKUP($E112,$A$232:$E$241,5,0)),(IF($E112=6,$H112,$I112))))),MIN((VLOOKUP($E112,$A$232:$C$241,3,0)),($F112+$G112))*(IF($E112=6,$I112,((MIN((VLOOKUP($E112,$A$232:$E$241,5,0)),$I112)))))))))*$J112</f>
        <v>0</v>
      </c>
      <c r="L112" s="332">
        <f t="shared" si="13"/>
        <v>0</v>
      </c>
      <c r="M112" s="333">
        <f t="shared" si="14"/>
        <v>0</v>
      </c>
      <c r="N112" s="277" t="str">
        <f>IF(E112&gt;0,MIN((VLOOKUP($E112,$A$232:$C$241,3,0)),($F112+$G112)),"")</f>
        <v/>
      </c>
      <c r="O112" s="273">
        <f>IF(E112=6,(MIN(VLOOKUP($E112,$A$232:$E$241,5,0),H112)),H112)</f>
        <v>0</v>
      </c>
      <c r="P112" s="272">
        <f>IF(E112=6,I112,IF(E112&gt;0,MIN((VLOOKUP($E112,$A$232:$E$241,5,0)),(I112)),0))*(1-$T$2)</f>
        <v>0</v>
      </c>
      <c r="Q112" s="62">
        <f t="shared" si="15"/>
        <v>0</v>
      </c>
      <c r="R112" s="274" t="str">
        <f t="shared" si="16"/>
        <v/>
      </c>
      <c r="S112" s="269">
        <f>(IF(OR($B112=0,$C112=0,$D112=0),0,IF(OR($E112=0,($G112+$F112=0),$H112=0),0,MIN((VLOOKUP($E112,$A$232:$C$241,3,0))*(IF($E112=6,$P112,$O112))*((MIN((VLOOKUP($E112,$A$232:$E$241,5,0)),(IF($E112=6,$O112,$P112))))),MIN((VLOOKUP($E112,$A$232:$C$241,3,0)),($F112+$G112))*(IF($E112=6,$P112,((MIN((VLOOKUP($E112,$A$232:$E$241,5,0)),$P112)))))))))*$Q112</f>
        <v>0</v>
      </c>
      <c r="T112" s="101">
        <f t="shared" si="17"/>
        <v>0</v>
      </c>
      <c r="U112" s="122"/>
      <c r="V112" s="300"/>
      <c r="W112" s="131">
        <f t="shared" si="20"/>
        <v>0</v>
      </c>
      <c r="X112" s="62">
        <f t="shared" si="18"/>
        <v>0</v>
      </c>
      <c r="Y112" s="63" t="str">
        <f t="shared" si="11"/>
        <v/>
      </c>
      <c r="Z112" s="133">
        <f>(IF(OR($B112=0,$C112=0,$D112=0),0,IF(OR($E112=0,($G112+$F112=0),$H112=0),0,MIN((VLOOKUP($E112,$A$232:$C$241,3,0))*(IF($E112=6,$W112,$O112))*((MIN((VLOOKUP($E112,$A$232:$E$241,5,0)),(IF($E112=6,$O112,$W112))))),MIN((VLOOKUP($E112,$A$232:$C$241,3,0)),($F112+$G112))*(IF($E112=6,$W112,((MIN((VLOOKUP($E112,$A$232:$E$241,5,0)),$W112)))))))))*$X112</f>
        <v>0</v>
      </c>
      <c r="AA112" s="139">
        <f t="shared" si="12"/>
        <v>0</v>
      </c>
      <c r="AB112" s="126"/>
      <c r="AC112" s="295"/>
      <c r="AD112" s="295"/>
      <c r="AF112" s="359">
        <f t="shared" si="19"/>
        <v>0</v>
      </c>
    </row>
    <row r="113" spans="1:32" s="22" customFormat="1" ht="24.75" customHeight="1" outlineLevel="1" x14ac:dyDescent="0.2">
      <c r="A113" s="177">
        <v>110</v>
      </c>
      <c r="B113" s="325"/>
      <c r="C113" s="325"/>
      <c r="D113" s="325"/>
      <c r="E113" s="326"/>
      <c r="F113" s="327"/>
      <c r="G113" s="328"/>
      <c r="H113" s="329"/>
      <c r="I113" s="329"/>
      <c r="J113" s="330"/>
      <c r="K113" s="331">
        <f>(IF(OR($B113=0,$C113=0,$D113=0),0,IF(OR($E113=0,($G113+$F113=0),$H113=0),0,MIN((VLOOKUP($E113,$A$232:$C$241,3,0))*(IF($E113=6,$I113,$H113))*((MIN((VLOOKUP($E113,$A$232:$E$241,5,0)),(IF($E113=6,$H113,$I113))))),MIN((VLOOKUP($E113,$A$232:$C$241,3,0)),($F113+$G113))*(IF($E113=6,$I113,((MIN((VLOOKUP($E113,$A$232:$E$241,5,0)),$I113)))))))))*$J113</f>
        <v>0</v>
      </c>
      <c r="L113" s="332">
        <f t="shared" si="13"/>
        <v>0</v>
      </c>
      <c r="M113" s="333">
        <f t="shared" si="14"/>
        <v>0</v>
      </c>
      <c r="N113" s="277" t="str">
        <f>IF(E113&gt;0,MIN((VLOOKUP($E113,$A$232:$C$241,3,0)),($F113+$G113)),"")</f>
        <v/>
      </c>
      <c r="O113" s="273">
        <f>IF(E113=6,(MIN(VLOOKUP($E113,$A$232:$E$241,5,0),H113)),H113)</f>
        <v>0</v>
      </c>
      <c r="P113" s="272">
        <f>IF(E113=6,I113,IF(E113&gt;0,MIN((VLOOKUP($E113,$A$232:$E$241,5,0)),(I113)),0))*(1-$T$2)</f>
        <v>0</v>
      </c>
      <c r="Q113" s="62">
        <f t="shared" si="15"/>
        <v>0</v>
      </c>
      <c r="R113" s="274" t="str">
        <f t="shared" si="16"/>
        <v/>
      </c>
      <c r="S113" s="269">
        <f>(IF(OR($B113=0,$C113=0,$D113=0),0,IF(OR($E113=0,($G113+$F113=0),$H113=0),0,MIN((VLOOKUP($E113,$A$232:$C$241,3,0))*(IF($E113=6,$P113,$O113))*((MIN((VLOOKUP($E113,$A$232:$E$241,5,0)),(IF($E113=6,$O113,$P113))))),MIN((VLOOKUP($E113,$A$232:$C$241,3,0)),($F113+$G113))*(IF($E113=6,$P113,((MIN((VLOOKUP($E113,$A$232:$E$241,5,0)),$P113)))))))))*$Q113</f>
        <v>0</v>
      </c>
      <c r="T113" s="101">
        <f t="shared" si="17"/>
        <v>0</v>
      </c>
      <c r="U113" s="122"/>
      <c r="V113" s="300"/>
      <c r="W113" s="131">
        <f t="shared" si="20"/>
        <v>0</v>
      </c>
      <c r="X113" s="62">
        <f t="shared" si="18"/>
        <v>0</v>
      </c>
      <c r="Y113" s="63" t="str">
        <f t="shared" si="11"/>
        <v/>
      </c>
      <c r="Z113" s="133">
        <f>(IF(OR($B113=0,$C113=0,$D113=0),0,IF(OR($E113=0,($G113+$F113=0),$H113=0),0,MIN((VLOOKUP($E113,$A$232:$C$241,3,0))*(IF($E113=6,$W113,$O113))*((MIN((VLOOKUP($E113,$A$232:$E$241,5,0)),(IF($E113=6,$O113,$W113))))),MIN((VLOOKUP($E113,$A$232:$C$241,3,0)),($F113+$G113))*(IF($E113=6,$W113,((MIN((VLOOKUP($E113,$A$232:$E$241,5,0)),$W113)))))))))*$X113</f>
        <v>0</v>
      </c>
      <c r="AA113" s="139">
        <f t="shared" si="12"/>
        <v>0</v>
      </c>
      <c r="AB113" s="126"/>
      <c r="AC113" s="295"/>
      <c r="AD113" s="295"/>
      <c r="AF113" s="359">
        <f t="shared" si="19"/>
        <v>0</v>
      </c>
    </row>
    <row r="114" spans="1:32" s="22" customFormat="1" ht="24.75" customHeight="1" outlineLevel="1" x14ac:dyDescent="0.2">
      <c r="A114" s="177">
        <v>111</v>
      </c>
      <c r="B114" s="325"/>
      <c r="C114" s="325"/>
      <c r="D114" s="325"/>
      <c r="E114" s="326"/>
      <c r="F114" s="327"/>
      <c r="G114" s="328"/>
      <c r="H114" s="329"/>
      <c r="I114" s="329"/>
      <c r="J114" s="330"/>
      <c r="K114" s="331">
        <f>(IF(OR($B114=0,$C114=0,$D114=0),0,IF(OR($E114=0,($G114+$F114=0),$H114=0),0,MIN((VLOOKUP($E114,$A$232:$C$241,3,0))*(IF($E114=6,$I114,$H114))*((MIN((VLOOKUP($E114,$A$232:$E$241,5,0)),(IF($E114=6,$H114,$I114))))),MIN((VLOOKUP($E114,$A$232:$C$241,3,0)),($F114+$G114))*(IF($E114=6,$I114,((MIN((VLOOKUP($E114,$A$232:$E$241,5,0)),$I114)))))))))*$J114</f>
        <v>0</v>
      </c>
      <c r="L114" s="332">
        <f t="shared" si="13"/>
        <v>0</v>
      </c>
      <c r="M114" s="333">
        <f t="shared" si="14"/>
        <v>0</v>
      </c>
      <c r="N114" s="277" t="str">
        <f>IF(E114&gt;0,MIN((VLOOKUP($E114,$A$232:$C$241,3,0)),($F114+$G114)),"")</f>
        <v/>
      </c>
      <c r="O114" s="273">
        <f>IF(E114=6,(MIN(VLOOKUP($E114,$A$232:$E$241,5,0),H114)),H114)</f>
        <v>0</v>
      </c>
      <c r="P114" s="272">
        <f>IF(E114=6,I114,IF(E114&gt;0,MIN((VLOOKUP($E114,$A$232:$E$241,5,0)),(I114)),0))*(1-$T$2)</f>
        <v>0</v>
      </c>
      <c r="Q114" s="62">
        <f t="shared" si="15"/>
        <v>0</v>
      </c>
      <c r="R114" s="274" t="str">
        <f t="shared" si="16"/>
        <v/>
      </c>
      <c r="S114" s="269">
        <f>(IF(OR($B114=0,$C114=0,$D114=0),0,IF(OR($E114=0,($G114+$F114=0),$H114=0),0,MIN((VLOOKUP($E114,$A$232:$C$241,3,0))*(IF($E114=6,$P114,$O114))*((MIN((VLOOKUP($E114,$A$232:$E$241,5,0)),(IF($E114=6,$O114,$P114))))),MIN((VLOOKUP($E114,$A$232:$C$241,3,0)),($F114+$G114))*(IF($E114=6,$P114,((MIN((VLOOKUP($E114,$A$232:$E$241,5,0)),$P114)))))))))*$Q114</f>
        <v>0</v>
      </c>
      <c r="T114" s="101">
        <f t="shared" si="17"/>
        <v>0</v>
      </c>
      <c r="U114" s="122"/>
      <c r="V114" s="300"/>
      <c r="W114" s="131">
        <f t="shared" si="20"/>
        <v>0</v>
      </c>
      <c r="X114" s="62">
        <f t="shared" si="18"/>
        <v>0</v>
      </c>
      <c r="Y114" s="63" t="str">
        <f t="shared" si="11"/>
        <v/>
      </c>
      <c r="Z114" s="133">
        <f>(IF(OR($B114=0,$C114=0,$D114=0),0,IF(OR($E114=0,($G114+$F114=0),$H114=0),0,MIN((VLOOKUP($E114,$A$232:$C$241,3,0))*(IF($E114=6,$W114,$O114))*((MIN((VLOOKUP($E114,$A$232:$E$241,5,0)),(IF($E114=6,$O114,$W114))))),MIN((VLOOKUP($E114,$A$232:$C$241,3,0)),($F114+$G114))*(IF($E114=6,$W114,((MIN((VLOOKUP($E114,$A$232:$E$241,5,0)),$W114)))))))))*$X114</f>
        <v>0</v>
      </c>
      <c r="AA114" s="139">
        <f t="shared" si="12"/>
        <v>0</v>
      </c>
      <c r="AB114" s="126"/>
      <c r="AC114" s="295"/>
      <c r="AD114" s="295"/>
      <c r="AF114" s="359">
        <f t="shared" si="19"/>
        <v>0</v>
      </c>
    </row>
    <row r="115" spans="1:32" s="22" customFormat="1" ht="24.75" customHeight="1" outlineLevel="1" x14ac:dyDescent="0.2">
      <c r="A115" s="177">
        <v>112</v>
      </c>
      <c r="B115" s="325"/>
      <c r="C115" s="325"/>
      <c r="D115" s="325"/>
      <c r="E115" s="326"/>
      <c r="F115" s="327"/>
      <c r="G115" s="328"/>
      <c r="H115" s="329"/>
      <c r="I115" s="329"/>
      <c r="J115" s="330"/>
      <c r="K115" s="331">
        <f>(IF(OR($B115=0,$C115=0,$D115=0),0,IF(OR($E115=0,($G115+$F115=0),$H115=0),0,MIN((VLOOKUP($E115,$A$232:$C$241,3,0))*(IF($E115=6,$I115,$H115))*((MIN((VLOOKUP($E115,$A$232:$E$241,5,0)),(IF($E115=6,$H115,$I115))))),MIN((VLOOKUP($E115,$A$232:$C$241,3,0)),($F115+$G115))*(IF($E115=6,$I115,((MIN((VLOOKUP($E115,$A$232:$E$241,5,0)),$I115)))))))))*$J115</f>
        <v>0</v>
      </c>
      <c r="L115" s="332">
        <f t="shared" si="13"/>
        <v>0</v>
      </c>
      <c r="M115" s="333">
        <f t="shared" si="14"/>
        <v>0</v>
      </c>
      <c r="N115" s="277" t="str">
        <f>IF(E115&gt;0,MIN((VLOOKUP($E115,$A$232:$C$241,3,0)),($F115+$G115)),"")</f>
        <v/>
      </c>
      <c r="O115" s="273">
        <f>IF(E115=6,(MIN(VLOOKUP($E115,$A$232:$E$241,5,0),H115)),H115)</f>
        <v>0</v>
      </c>
      <c r="P115" s="272">
        <f>IF(E115=6,I115,IF(E115&gt;0,MIN((VLOOKUP($E115,$A$232:$E$241,5,0)),(I115)),0))*(1-$T$2)</f>
        <v>0</v>
      </c>
      <c r="Q115" s="62">
        <f t="shared" si="15"/>
        <v>0</v>
      </c>
      <c r="R115" s="274" t="str">
        <f t="shared" si="16"/>
        <v/>
      </c>
      <c r="S115" s="269">
        <f>(IF(OR($B115=0,$C115=0,$D115=0),0,IF(OR($E115=0,($G115+$F115=0),$H115=0),0,MIN((VLOOKUP($E115,$A$232:$C$241,3,0))*(IF($E115=6,$P115,$O115))*((MIN((VLOOKUP($E115,$A$232:$E$241,5,0)),(IF($E115=6,$O115,$P115))))),MIN((VLOOKUP($E115,$A$232:$C$241,3,0)),($F115+$G115))*(IF($E115=6,$P115,((MIN((VLOOKUP($E115,$A$232:$E$241,5,0)),$P115)))))))))*$Q115</f>
        <v>0</v>
      </c>
      <c r="T115" s="101">
        <f t="shared" si="17"/>
        <v>0</v>
      </c>
      <c r="U115" s="122"/>
      <c r="V115" s="300"/>
      <c r="W115" s="131">
        <f t="shared" si="20"/>
        <v>0</v>
      </c>
      <c r="X115" s="62">
        <f t="shared" si="18"/>
        <v>0</v>
      </c>
      <c r="Y115" s="63" t="str">
        <f t="shared" si="11"/>
        <v/>
      </c>
      <c r="Z115" s="133">
        <f>(IF(OR($B115=0,$C115=0,$D115=0),0,IF(OR($E115=0,($G115+$F115=0),$H115=0),0,MIN((VLOOKUP($E115,$A$232:$C$241,3,0))*(IF($E115=6,$W115,$O115))*((MIN((VLOOKUP($E115,$A$232:$E$241,5,0)),(IF($E115=6,$O115,$W115))))),MIN((VLOOKUP($E115,$A$232:$C$241,3,0)),($F115+$G115))*(IF($E115=6,$W115,((MIN((VLOOKUP($E115,$A$232:$E$241,5,0)),$W115)))))))))*$X115</f>
        <v>0</v>
      </c>
      <c r="AA115" s="139">
        <f t="shared" si="12"/>
        <v>0</v>
      </c>
      <c r="AB115" s="126"/>
      <c r="AC115" s="295"/>
      <c r="AD115" s="295"/>
      <c r="AF115" s="359">
        <f t="shared" si="19"/>
        <v>0</v>
      </c>
    </row>
    <row r="116" spans="1:32" s="22" customFormat="1" ht="24.75" customHeight="1" outlineLevel="1" x14ac:dyDescent="0.2">
      <c r="A116" s="177">
        <v>113</v>
      </c>
      <c r="B116" s="325"/>
      <c r="C116" s="325"/>
      <c r="D116" s="325"/>
      <c r="E116" s="326"/>
      <c r="F116" s="327"/>
      <c r="G116" s="328"/>
      <c r="H116" s="329"/>
      <c r="I116" s="329"/>
      <c r="J116" s="330"/>
      <c r="K116" s="331">
        <f>(IF(OR($B116=0,$C116=0,$D116=0),0,IF(OR($E116=0,($G116+$F116=0),$H116=0),0,MIN((VLOOKUP($E116,$A$232:$C$241,3,0))*(IF($E116=6,$I116,$H116))*((MIN((VLOOKUP($E116,$A$232:$E$241,5,0)),(IF($E116=6,$H116,$I116))))),MIN((VLOOKUP($E116,$A$232:$C$241,3,0)),($F116+$G116))*(IF($E116=6,$I116,((MIN((VLOOKUP($E116,$A$232:$E$241,5,0)),$I116)))))))))*$J116</f>
        <v>0</v>
      </c>
      <c r="L116" s="332">
        <f t="shared" si="13"/>
        <v>0</v>
      </c>
      <c r="M116" s="333">
        <f t="shared" si="14"/>
        <v>0</v>
      </c>
      <c r="N116" s="277" t="str">
        <f>IF(E116&gt;0,MIN((VLOOKUP($E116,$A$232:$C$241,3,0)),($F116+$G116)),"")</f>
        <v/>
      </c>
      <c r="O116" s="273">
        <f>IF(E116=6,(MIN(VLOOKUP($E116,$A$232:$E$241,5,0),H116)),H116)</f>
        <v>0</v>
      </c>
      <c r="P116" s="272">
        <f>IF(E116=6,I116,IF(E116&gt;0,MIN((VLOOKUP($E116,$A$232:$E$241,5,0)),(I116)),0))*(1-$T$2)</f>
        <v>0</v>
      </c>
      <c r="Q116" s="62">
        <f t="shared" si="15"/>
        <v>0</v>
      </c>
      <c r="R116" s="274" t="str">
        <f t="shared" si="16"/>
        <v/>
      </c>
      <c r="S116" s="269">
        <f>(IF(OR($B116=0,$C116=0,$D116=0),0,IF(OR($E116=0,($G116+$F116=0),$H116=0),0,MIN((VLOOKUP($E116,$A$232:$C$241,3,0))*(IF($E116=6,$P116,$O116))*((MIN((VLOOKUP($E116,$A$232:$E$241,5,0)),(IF($E116=6,$O116,$P116))))),MIN((VLOOKUP($E116,$A$232:$C$241,3,0)),($F116+$G116))*(IF($E116=6,$P116,((MIN((VLOOKUP($E116,$A$232:$E$241,5,0)),$P116)))))))))*$Q116</f>
        <v>0</v>
      </c>
      <c r="T116" s="101">
        <f t="shared" si="17"/>
        <v>0</v>
      </c>
      <c r="U116" s="122"/>
      <c r="V116" s="300"/>
      <c r="W116" s="131">
        <f t="shared" si="20"/>
        <v>0</v>
      </c>
      <c r="X116" s="62">
        <f t="shared" si="18"/>
        <v>0</v>
      </c>
      <c r="Y116" s="63" t="str">
        <f t="shared" si="11"/>
        <v/>
      </c>
      <c r="Z116" s="133">
        <f>(IF(OR($B116=0,$C116=0,$D116=0),0,IF(OR($E116=0,($G116+$F116=0),$H116=0),0,MIN((VLOOKUP($E116,$A$232:$C$241,3,0))*(IF($E116=6,$W116,$O116))*((MIN((VLOOKUP($E116,$A$232:$E$241,5,0)),(IF($E116=6,$O116,$W116))))),MIN((VLOOKUP($E116,$A$232:$C$241,3,0)),($F116+$G116))*(IF($E116=6,$W116,((MIN((VLOOKUP($E116,$A$232:$E$241,5,0)),$W116)))))))))*$X116</f>
        <v>0</v>
      </c>
      <c r="AA116" s="139">
        <f t="shared" si="12"/>
        <v>0</v>
      </c>
      <c r="AB116" s="126"/>
      <c r="AC116" s="295"/>
      <c r="AD116" s="295"/>
      <c r="AF116" s="359">
        <f t="shared" si="19"/>
        <v>0</v>
      </c>
    </row>
    <row r="117" spans="1:32" s="22" customFormat="1" ht="24.75" customHeight="1" outlineLevel="1" x14ac:dyDescent="0.2">
      <c r="A117" s="177">
        <v>114</v>
      </c>
      <c r="B117" s="325"/>
      <c r="C117" s="325"/>
      <c r="D117" s="325"/>
      <c r="E117" s="326"/>
      <c r="F117" s="327"/>
      <c r="G117" s="328"/>
      <c r="H117" s="329"/>
      <c r="I117" s="329"/>
      <c r="J117" s="330"/>
      <c r="K117" s="331">
        <f>(IF(OR($B117=0,$C117=0,$D117=0),0,IF(OR($E117=0,($G117+$F117=0),$H117=0),0,MIN((VLOOKUP($E117,$A$232:$C$241,3,0))*(IF($E117=6,$I117,$H117))*((MIN((VLOOKUP($E117,$A$232:$E$241,5,0)),(IF($E117=6,$H117,$I117))))),MIN((VLOOKUP($E117,$A$232:$C$241,3,0)),($F117+$G117))*(IF($E117=6,$I117,((MIN((VLOOKUP($E117,$A$232:$E$241,5,0)),$I117)))))))))*$J117</f>
        <v>0</v>
      </c>
      <c r="L117" s="332">
        <f t="shared" si="13"/>
        <v>0</v>
      </c>
      <c r="M117" s="333">
        <f t="shared" si="14"/>
        <v>0</v>
      </c>
      <c r="N117" s="277" t="str">
        <f>IF(E117&gt;0,MIN((VLOOKUP($E117,$A$232:$C$241,3,0)),($F117+$G117)),"")</f>
        <v/>
      </c>
      <c r="O117" s="273">
        <f>IF(E117=6,(MIN(VLOOKUP($E117,$A$232:$E$241,5,0),H117)),H117)</f>
        <v>0</v>
      </c>
      <c r="P117" s="272">
        <f>IF(E117=6,I117,IF(E117&gt;0,MIN((VLOOKUP($E117,$A$232:$E$241,5,0)),(I117)),0))*(1-$T$2)</f>
        <v>0</v>
      </c>
      <c r="Q117" s="62">
        <f t="shared" si="15"/>
        <v>0</v>
      </c>
      <c r="R117" s="274" t="str">
        <f t="shared" si="16"/>
        <v/>
      </c>
      <c r="S117" s="269">
        <f>(IF(OR($B117=0,$C117=0,$D117=0),0,IF(OR($E117=0,($G117+$F117=0),$H117=0),0,MIN((VLOOKUP($E117,$A$232:$C$241,3,0))*(IF($E117=6,$P117,$O117))*((MIN((VLOOKUP($E117,$A$232:$E$241,5,0)),(IF($E117=6,$O117,$P117))))),MIN((VLOOKUP($E117,$A$232:$C$241,3,0)),($F117+$G117))*(IF($E117=6,$P117,((MIN((VLOOKUP($E117,$A$232:$E$241,5,0)),$P117)))))))))*$Q117</f>
        <v>0</v>
      </c>
      <c r="T117" s="101">
        <f t="shared" si="17"/>
        <v>0</v>
      </c>
      <c r="U117" s="122"/>
      <c r="V117" s="300"/>
      <c r="W117" s="131">
        <f t="shared" si="20"/>
        <v>0</v>
      </c>
      <c r="X117" s="62">
        <f t="shared" si="18"/>
        <v>0</v>
      </c>
      <c r="Y117" s="63" t="str">
        <f t="shared" si="11"/>
        <v/>
      </c>
      <c r="Z117" s="133">
        <f>(IF(OR($B117=0,$C117=0,$D117=0),0,IF(OR($E117=0,($G117+$F117=0),$H117=0),0,MIN((VLOOKUP($E117,$A$232:$C$241,3,0))*(IF($E117=6,$W117,$O117))*((MIN((VLOOKUP($E117,$A$232:$E$241,5,0)),(IF($E117=6,$O117,$W117))))),MIN((VLOOKUP($E117,$A$232:$C$241,3,0)),($F117+$G117))*(IF($E117=6,$W117,((MIN((VLOOKUP($E117,$A$232:$E$241,5,0)),$W117)))))))))*$X117</f>
        <v>0</v>
      </c>
      <c r="AA117" s="139">
        <f t="shared" si="12"/>
        <v>0</v>
      </c>
      <c r="AB117" s="126"/>
      <c r="AC117" s="295"/>
      <c r="AD117" s="295"/>
      <c r="AF117" s="359">
        <f t="shared" si="19"/>
        <v>0</v>
      </c>
    </row>
    <row r="118" spans="1:32" s="22" customFormat="1" ht="24.75" customHeight="1" outlineLevel="1" x14ac:dyDescent="0.2">
      <c r="A118" s="177">
        <v>115</v>
      </c>
      <c r="B118" s="325"/>
      <c r="C118" s="325"/>
      <c r="D118" s="325"/>
      <c r="E118" s="326"/>
      <c r="F118" s="327"/>
      <c r="G118" s="328"/>
      <c r="H118" s="329"/>
      <c r="I118" s="329"/>
      <c r="J118" s="330"/>
      <c r="K118" s="331">
        <f>(IF(OR($B118=0,$C118=0,$D118=0),0,IF(OR($E118=0,($G118+$F118=0),$H118=0),0,MIN((VLOOKUP($E118,$A$232:$C$241,3,0))*(IF($E118=6,$I118,$H118))*((MIN((VLOOKUP($E118,$A$232:$E$241,5,0)),(IF($E118=6,$H118,$I118))))),MIN((VLOOKUP($E118,$A$232:$C$241,3,0)),($F118+$G118))*(IF($E118=6,$I118,((MIN((VLOOKUP($E118,$A$232:$E$241,5,0)),$I118)))))))))*$J118</f>
        <v>0</v>
      </c>
      <c r="L118" s="332">
        <f t="shared" si="13"/>
        <v>0</v>
      </c>
      <c r="M118" s="333">
        <f t="shared" si="14"/>
        <v>0</v>
      </c>
      <c r="N118" s="277" t="str">
        <f>IF(E118&gt;0,MIN((VLOOKUP($E118,$A$232:$C$241,3,0)),($F118+$G118)),"")</f>
        <v/>
      </c>
      <c r="O118" s="273">
        <f>IF(E118=6,(MIN(VLOOKUP($E118,$A$232:$E$241,5,0),H118)),H118)</f>
        <v>0</v>
      </c>
      <c r="P118" s="272">
        <f>IF(E118=6,I118,IF(E118&gt;0,MIN((VLOOKUP($E118,$A$232:$E$241,5,0)),(I118)),0))*(1-$T$2)</f>
        <v>0</v>
      </c>
      <c r="Q118" s="62">
        <f t="shared" si="15"/>
        <v>0</v>
      </c>
      <c r="R118" s="274" t="str">
        <f t="shared" si="16"/>
        <v/>
      </c>
      <c r="S118" s="269">
        <f>(IF(OR($B118=0,$C118=0,$D118=0),0,IF(OR($E118=0,($G118+$F118=0),$H118=0),0,MIN((VLOOKUP($E118,$A$232:$C$241,3,0))*(IF($E118=6,$P118,$O118))*((MIN((VLOOKUP($E118,$A$232:$E$241,5,0)),(IF($E118=6,$O118,$P118))))),MIN((VLOOKUP($E118,$A$232:$C$241,3,0)),($F118+$G118))*(IF($E118=6,$P118,((MIN((VLOOKUP($E118,$A$232:$E$241,5,0)),$P118)))))))))*$Q118</f>
        <v>0</v>
      </c>
      <c r="T118" s="101">
        <f t="shared" si="17"/>
        <v>0</v>
      </c>
      <c r="U118" s="122"/>
      <c r="V118" s="300"/>
      <c r="W118" s="131">
        <f t="shared" si="20"/>
        <v>0</v>
      </c>
      <c r="X118" s="62">
        <f t="shared" si="18"/>
        <v>0</v>
      </c>
      <c r="Y118" s="63" t="str">
        <f t="shared" si="11"/>
        <v/>
      </c>
      <c r="Z118" s="133">
        <f>(IF(OR($B118=0,$C118=0,$D118=0),0,IF(OR($E118=0,($G118+$F118=0),$H118=0),0,MIN((VLOOKUP($E118,$A$232:$C$241,3,0))*(IF($E118=6,$W118,$O118))*((MIN((VLOOKUP($E118,$A$232:$E$241,5,0)),(IF($E118=6,$O118,$W118))))),MIN((VLOOKUP($E118,$A$232:$C$241,3,0)),($F118+$G118))*(IF($E118=6,$W118,((MIN((VLOOKUP($E118,$A$232:$E$241,5,0)),$W118)))))))))*$X118</f>
        <v>0</v>
      </c>
      <c r="AA118" s="139">
        <f t="shared" si="12"/>
        <v>0</v>
      </c>
      <c r="AB118" s="126"/>
      <c r="AC118" s="295"/>
      <c r="AD118" s="295"/>
      <c r="AF118" s="359">
        <f t="shared" si="19"/>
        <v>0</v>
      </c>
    </row>
    <row r="119" spans="1:32" s="22" customFormat="1" ht="24.75" customHeight="1" outlineLevel="1" x14ac:dyDescent="0.2">
      <c r="A119" s="177">
        <v>116</v>
      </c>
      <c r="B119" s="325"/>
      <c r="C119" s="325"/>
      <c r="D119" s="325"/>
      <c r="E119" s="326"/>
      <c r="F119" s="327"/>
      <c r="G119" s="328"/>
      <c r="H119" s="329"/>
      <c r="I119" s="329"/>
      <c r="J119" s="330"/>
      <c r="K119" s="331">
        <f>(IF(OR($B119=0,$C119=0,$D119=0),0,IF(OR($E119=0,($G119+$F119=0),$H119=0),0,MIN((VLOOKUP($E119,$A$232:$C$241,3,0))*(IF($E119=6,$I119,$H119))*((MIN((VLOOKUP($E119,$A$232:$E$241,5,0)),(IF($E119=6,$H119,$I119))))),MIN((VLOOKUP($E119,$A$232:$C$241,3,0)),($F119+$G119))*(IF($E119=6,$I119,((MIN((VLOOKUP($E119,$A$232:$E$241,5,0)),$I119)))))))))*$J119</f>
        <v>0</v>
      </c>
      <c r="L119" s="332">
        <f t="shared" si="13"/>
        <v>0</v>
      </c>
      <c r="M119" s="333">
        <f t="shared" si="14"/>
        <v>0</v>
      </c>
      <c r="N119" s="277" t="str">
        <f>IF(E119&gt;0,MIN((VLOOKUP($E119,$A$232:$C$241,3,0)),($F119+$G119)),"")</f>
        <v/>
      </c>
      <c r="O119" s="273">
        <f>IF(E119=6,(MIN(VLOOKUP($E119,$A$232:$E$241,5,0),H119)),H119)</f>
        <v>0</v>
      </c>
      <c r="P119" s="272">
        <f>IF(E119=6,I119,IF(E119&gt;0,MIN((VLOOKUP($E119,$A$232:$E$241,5,0)),(I119)),0))*(1-$T$2)</f>
        <v>0</v>
      </c>
      <c r="Q119" s="62">
        <f t="shared" si="15"/>
        <v>0</v>
      </c>
      <c r="R119" s="274" t="str">
        <f t="shared" si="16"/>
        <v/>
      </c>
      <c r="S119" s="269">
        <f>(IF(OR($B119=0,$C119=0,$D119=0),0,IF(OR($E119=0,($G119+$F119=0),$H119=0),0,MIN((VLOOKUP($E119,$A$232:$C$241,3,0))*(IF($E119=6,$P119,$O119))*((MIN((VLOOKUP($E119,$A$232:$E$241,5,0)),(IF($E119=6,$O119,$P119))))),MIN((VLOOKUP($E119,$A$232:$C$241,3,0)),($F119+$G119))*(IF($E119=6,$P119,((MIN((VLOOKUP($E119,$A$232:$E$241,5,0)),$P119)))))))))*$Q119</f>
        <v>0</v>
      </c>
      <c r="T119" s="101">
        <f t="shared" si="17"/>
        <v>0</v>
      </c>
      <c r="U119" s="122"/>
      <c r="V119" s="300"/>
      <c r="W119" s="131">
        <f t="shared" si="20"/>
        <v>0</v>
      </c>
      <c r="X119" s="62">
        <f t="shared" si="18"/>
        <v>0</v>
      </c>
      <c r="Y119" s="63" t="str">
        <f t="shared" si="11"/>
        <v/>
      </c>
      <c r="Z119" s="133">
        <f>(IF(OR($B119=0,$C119=0,$D119=0),0,IF(OR($E119=0,($G119+$F119=0),$H119=0),0,MIN((VLOOKUP($E119,$A$232:$C$241,3,0))*(IF($E119=6,$W119,$O119))*((MIN((VLOOKUP($E119,$A$232:$E$241,5,0)),(IF($E119=6,$O119,$W119))))),MIN((VLOOKUP($E119,$A$232:$C$241,3,0)),($F119+$G119))*(IF($E119=6,$W119,((MIN((VLOOKUP($E119,$A$232:$E$241,5,0)),$W119)))))))))*$X119</f>
        <v>0</v>
      </c>
      <c r="AA119" s="139">
        <f t="shared" si="12"/>
        <v>0</v>
      </c>
      <c r="AB119" s="126"/>
      <c r="AC119" s="295"/>
      <c r="AD119" s="295"/>
      <c r="AF119" s="359">
        <f t="shared" si="19"/>
        <v>0</v>
      </c>
    </row>
    <row r="120" spans="1:32" s="22" customFormat="1" ht="24.75" customHeight="1" outlineLevel="1" x14ac:dyDescent="0.2">
      <c r="A120" s="177">
        <v>117</v>
      </c>
      <c r="B120" s="325"/>
      <c r="C120" s="325"/>
      <c r="D120" s="325"/>
      <c r="E120" s="326"/>
      <c r="F120" s="327"/>
      <c r="G120" s="328"/>
      <c r="H120" s="329"/>
      <c r="I120" s="329"/>
      <c r="J120" s="330"/>
      <c r="K120" s="331">
        <f>(IF(OR($B120=0,$C120=0,$D120=0),0,IF(OR($E120=0,($G120+$F120=0),$H120=0),0,MIN((VLOOKUP($E120,$A$232:$C$241,3,0))*(IF($E120=6,$I120,$H120))*((MIN((VLOOKUP($E120,$A$232:$E$241,5,0)),(IF($E120=6,$H120,$I120))))),MIN((VLOOKUP($E120,$A$232:$C$241,3,0)),($F120+$G120))*(IF($E120=6,$I120,((MIN((VLOOKUP($E120,$A$232:$E$241,5,0)),$I120)))))))))*$J120</f>
        <v>0</v>
      </c>
      <c r="L120" s="332">
        <f t="shared" si="13"/>
        <v>0</v>
      </c>
      <c r="M120" s="333">
        <f t="shared" si="14"/>
        <v>0</v>
      </c>
      <c r="N120" s="277" t="str">
        <f>IF(E120&gt;0,MIN((VLOOKUP($E120,$A$232:$C$241,3,0)),($F120+$G120)),"")</f>
        <v/>
      </c>
      <c r="O120" s="273">
        <f>IF(E120=6,(MIN(VLOOKUP($E120,$A$232:$E$241,5,0),H120)),H120)</f>
        <v>0</v>
      </c>
      <c r="P120" s="272">
        <f>IF(E120=6,I120,IF(E120&gt;0,MIN((VLOOKUP($E120,$A$232:$E$241,5,0)),(I120)),0))*(1-$T$2)</f>
        <v>0</v>
      </c>
      <c r="Q120" s="62">
        <f t="shared" si="15"/>
        <v>0</v>
      </c>
      <c r="R120" s="274" t="str">
        <f t="shared" si="16"/>
        <v/>
      </c>
      <c r="S120" s="269">
        <f>(IF(OR($B120=0,$C120=0,$D120=0),0,IF(OR($E120=0,($G120+$F120=0),$H120=0),0,MIN((VLOOKUP($E120,$A$232:$C$241,3,0))*(IF($E120=6,$P120,$O120))*((MIN((VLOOKUP($E120,$A$232:$E$241,5,0)),(IF($E120=6,$O120,$P120))))),MIN((VLOOKUP($E120,$A$232:$C$241,3,0)),($F120+$G120))*(IF($E120=6,$P120,((MIN((VLOOKUP($E120,$A$232:$E$241,5,0)),$P120)))))))))*$Q120</f>
        <v>0</v>
      </c>
      <c r="T120" s="101">
        <f t="shared" si="17"/>
        <v>0</v>
      </c>
      <c r="U120" s="122"/>
      <c r="V120" s="300"/>
      <c r="W120" s="131">
        <f t="shared" si="20"/>
        <v>0</v>
      </c>
      <c r="X120" s="62">
        <f t="shared" si="18"/>
        <v>0</v>
      </c>
      <c r="Y120" s="63" t="str">
        <f t="shared" si="11"/>
        <v/>
      </c>
      <c r="Z120" s="133">
        <f>(IF(OR($B120=0,$C120=0,$D120=0),0,IF(OR($E120=0,($G120+$F120=0),$H120=0),0,MIN((VLOOKUP($E120,$A$232:$C$241,3,0))*(IF($E120=6,$W120,$O120))*((MIN((VLOOKUP($E120,$A$232:$E$241,5,0)),(IF($E120=6,$O120,$W120))))),MIN((VLOOKUP($E120,$A$232:$C$241,3,0)),($F120+$G120))*(IF($E120=6,$W120,((MIN((VLOOKUP($E120,$A$232:$E$241,5,0)),$W120)))))))))*$X120</f>
        <v>0</v>
      </c>
      <c r="AA120" s="139">
        <f t="shared" si="12"/>
        <v>0</v>
      </c>
      <c r="AB120" s="126"/>
      <c r="AC120" s="295"/>
      <c r="AD120" s="295"/>
      <c r="AF120" s="359">
        <f t="shared" si="19"/>
        <v>0</v>
      </c>
    </row>
    <row r="121" spans="1:32" s="22" customFormat="1" ht="24.75" customHeight="1" outlineLevel="1" x14ac:dyDescent="0.2">
      <c r="A121" s="177">
        <v>118</v>
      </c>
      <c r="B121" s="325"/>
      <c r="C121" s="325"/>
      <c r="D121" s="325"/>
      <c r="E121" s="326"/>
      <c r="F121" s="327"/>
      <c r="G121" s="328"/>
      <c r="H121" s="329"/>
      <c r="I121" s="329"/>
      <c r="J121" s="330"/>
      <c r="K121" s="331">
        <f>(IF(OR($B121=0,$C121=0,$D121=0),0,IF(OR($E121=0,($G121+$F121=0),$H121=0),0,MIN((VLOOKUP($E121,$A$232:$C$241,3,0))*(IF($E121=6,$I121,$H121))*((MIN((VLOOKUP($E121,$A$232:$E$241,5,0)),(IF($E121=6,$H121,$I121))))),MIN((VLOOKUP($E121,$A$232:$C$241,3,0)),($F121+$G121))*(IF($E121=6,$I121,((MIN((VLOOKUP($E121,$A$232:$E$241,5,0)),$I121)))))))))*$J121</f>
        <v>0</v>
      </c>
      <c r="L121" s="332">
        <f t="shared" si="13"/>
        <v>0</v>
      </c>
      <c r="M121" s="333">
        <f t="shared" si="14"/>
        <v>0</v>
      </c>
      <c r="N121" s="277" t="str">
        <f>IF(E121&gt;0,MIN((VLOOKUP($E121,$A$232:$C$241,3,0)),($F121+$G121)),"")</f>
        <v/>
      </c>
      <c r="O121" s="273">
        <f>IF(E121=6,(MIN(VLOOKUP($E121,$A$232:$E$241,5,0),H121)),H121)</f>
        <v>0</v>
      </c>
      <c r="P121" s="272">
        <f>IF(E121=6,I121,IF(E121&gt;0,MIN((VLOOKUP($E121,$A$232:$E$241,5,0)),(I121)),0))*(1-$T$2)</f>
        <v>0</v>
      </c>
      <c r="Q121" s="62">
        <f t="shared" si="15"/>
        <v>0</v>
      </c>
      <c r="R121" s="274" t="str">
        <f t="shared" si="16"/>
        <v/>
      </c>
      <c r="S121" s="269">
        <f>(IF(OR($B121=0,$C121=0,$D121=0),0,IF(OR($E121=0,($G121+$F121=0),$H121=0),0,MIN((VLOOKUP($E121,$A$232:$C$241,3,0))*(IF($E121=6,$P121,$O121))*((MIN((VLOOKUP($E121,$A$232:$E$241,5,0)),(IF($E121=6,$O121,$P121))))),MIN((VLOOKUP($E121,$A$232:$C$241,3,0)),($F121+$G121))*(IF($E121=6,$P121,((MIN((VLOOKUP($E121,$A$232:$E$241,5,0)),$P121)))))))))*$Q121</f>
        <v>0</v>
      </c>
      <c r="T121" s="101">
        <f t="shared" si="17"/>
        <v>0</v>
      </c>
      <c r="U121" s="122"/>
      <c r="V121" s="300"/>
      <c r="W121" s="131">
        <f t="shared" si="20"/>
        <v>0</v>
      </c>
      <c r="X121" s="62">
        <f t="shared" si="18"/>
        <v>0</v>
      </c>
      <c r="Y121" s="63" t="str">
        <f t="shared" si="11"/>
        <v/>
      </c>
      <c r="Z121" s="133">
        <f>(IF(OR($B121=0,$C121=0,$D121=0),0,IF(OR($E121=0,($G121+$F121=0),$H121=0),0,MIN((VLOOKUP($E121,$A$232:$C$241,3,0))*(IF($E121=6,$W121,$O121))*((MIN((VLOOKUP($E121,$A$232:$E$241,5,0)),(IF($E121=6,$O121,$W121))))),MIN((VLOOKUP($E121,$A$232:$C$241,3,0)),($F121+$G121))*(IF($E121=6,$W121,((MIN((VLOOKUP($E121,$A$232:$E$241,5,0)),$W121)))))))))*$X121</f>
        <v>0</v>
      </c>
      <c r="AA121" s="139">
        <f t="shared" si="12"/>
        <v>0</v>
      </c>
      <c r="AB121" s="126"/>
      <c r="AC121" s="295"/>
      <c r="AD121" s="295"/>
      <c r="AF121" s="359">
        <f t="shared" si="19"/>
        <v>0</v>
      </c>
    </row>
    <row r="122" spans="1:32" s="22" customFormat="1" ht="24.75" customHeight="1" outlineLevel="1" x14ac:dyDescent="0.2">
      <c r="A122" s="177">
        <v>119</v>
      </c>
      <c r="B122" s="325"/>
      <c r="C122" s="325"/>
      <c r="D122" s="325"/>
      <c r="E122" s="326"/>
      <c r="F122" s="327"/>
      <c r="G122" s="328"/>
      <c r="H122" s="329"/>
      <c r="I122" s="329"/>
      <c r="J122" s="330"/>
      <c r="K122" s="331">
        <f>(IF(OR($B122=0,$C122=0,$D122=0),0,IF(OR($E122=0,($G122+$F122=0),$H122=0),0,MIN((VLOOKUP($E122,$A$232:$C$241,3,0))*(IF($E122=6,$I122,$H122))*((MIN((VLOOKUP($E122,$A$232:$E$241,5,0)),(IF($E122=6,$H122,$I122))))),MIN((VLOOKUP($E122,$A$232:$C$241,3,0)),($F122+$G122))*(IF($E122=6,$I122,((MIN((VLOOKUP($E122,$A$232:$E$241,5,0)),$I122)))))))))*$J122</f>
        <v>0</v>
      </c>
      <c r="L122" s="332">
        <f t="shared" si="13"/>
        <v>0</v>
      </c>
      <c r="M122" s="333">
        <f t="shared" si="14"/>
        <v>0</v>
      </c>
      <c r="N122" s="277" t="str">
        <f>IF(E122&gt;0,MIN((VLOOKUP($E122,$A$232:$C$241,3,0)),($F122+$G122)),"")</f>
        <v/>
      </c>
      <c r="O122" s="273">
        <f>IF(E122=6,(MIN(VLOOKUP($E122,$A$232:$E$241,5,0),H122)),H122)</f>
        <v>0</v>
      </c>
      <c r="P122" s="272">
        <f>IF(E122=6,I122,IF(E122&gt;0,MIN((VLOOKUP($E122,$A$232:$E$241,5,0)),(I122)),0))*(1-$T$2)</f>
        <v>0</v>
      </c>
      <c r="Q122" s="62">
        <f t="shared" si="15"/>
        <v>0</v>
      </c>
      <c r="R122" s="274" t="str">
        <f t="shared" si="16"/>
        <v/>
      </c>
      <c r="S122" s="269">
        <f>(IF(OR($B122=0,$C122=0,$D122=0),0,IF(OR($E122=0,($G122+$F122=0),$H122=0),0,MIN((VLOOKUP($E122,$A$232:$C$241,3,0))*(IF($E122=6,$P122,$O122))*((MIN((VLOOKUP($E122,$A$232:$E$241,5,0)),(IF($E122=6,$O122,$P122))))),MIN((VLOOKUP($E122,$A$232:$C$241,3,0)),($F122+$G122))*(IF($E122=6,$P122,((MIN((VLOOKUP($E122,$A$232:$E$241,5,0)),$P122)))))))))*$Q122</f>
        <v>0</v>
      </c>
      <c r="T122" s="101">
        <f t="shared" si="17"/>
        <v>0</v>
      </c>
      <c r="U122" s="122"/>
      <c r="V122" s="300"/>
      <c r="W122" s="131">
        <f t="shared" si="20"/>
        <v>0</v>
      </c>
      <c r="X122" s="62">
        <f t="shared" si="18"/>
        <v>0</v>
      </c>
      <c r="Y122" s="63" t="str">
        <f t="shared" si="11"/>
        <v/>
      </c>
      <c r="Z122" s="133">
        <f>(IF(OR($B122=0,$C122=0,$D122=0),0,IF(OR($E122=0,($G122+$F122=0),$H122=0),0,MIN((VLOOKUP($E122,$A$232:$C$241,3,0))*(IF($E122=6,$W122,$O122))*((MIN((VLOOKUP($E122,$A$232:$E$241,5,0)),(IF($E122=6,$O122,$W122))))),MIN((VLOOKUP($E122,$A$232:$C$241,3,0)),($F122+$G122))*(IF($E122=6,$W122,((MIN((VLOOKUP($E122,$A$232:$E$241,5,0)),$W122)))))))))*$X122</f>
        <v>0</v>
      </c>
      <c r="AA122" s="139">
        <f t="shared" si="12"/>
        <v>0</v>
      </c>
      <c r="AB122" s="126"/>
      <c r="AC122" s="295"/>
      <c r="AD122" s="295"/>
      <c r="AF122" s="359">
        <f t="shared" si="19"/>
        <v>0</v>
      </c>
    </row>
    <row r="123" spans="1:32" s="22" customFormat="1" ht="24.75" customHeight="1" outlineLevel="1" x14ac:dyDescent="0.2">
      <c r="A123" s="177">
        <v>120</v>
      </c>
      <c r="B123" s="325"/>
      <c r="C123" s="325"/>
      <c r="D123" s="325"/>
      <c r="E123" s="326"/>
      <c r="F123" s="327"/>
      <c r="G123" s="328"/>
      <c r="H123" s="329"/>
      <c r="I123" s="329"/>
      <c r="J123" s="330"/>
      <c r="K123" s="331">
        <f>(IF(OR($B123=0,$C123=0,$D123=0),0,IF(OR($E123=0,($G123+$F123=0),$H123=0),0,MIN((VLOOKUP($E123,$A$232:$C$241,3,0))*(IF($E123=6,$I123,$H123))*((MIN((VLOOKUP($E123,$A$232:$E$241,5,0)),(IF($E123=6,$H123,$I123))))),MIN((VLOOKUP($E123,$A$232:$C$241,3,0)),($F123+$G123))*(IF($E123=6,$I123,((MIN((VLOOKUP($E123,$A$232:$E$241,5,0)),$I123)))))))))*$J123</f>
        <v>0</v>
      </c>
      <c r="L123" s="332">
        <f t="shared" si="13"/>
        <v>0</v>
      </c>
      <c r="M123" s="333">
        <f t="shared" si="14"/>
        <v>0</v>
      </c>
      <c r="N123" s="277" t="str">
        <f>IF(E123&gt;0,MIN((VLOOKUP($E123,$A$232:$C$241,3,0)),($F123+$G123)),"")</f>
        <v/>
      </c>
      <c r="O123" s="273">
        <f>IF(E123=6,(MIN(VLOOKUP($E123,$A$232:$E$241,5,0),H123)),H123)</f>
        <v>0</v>
      </c>
      <c r="P123" s="272">
        <f>IF(E123=6,I123,IF(E123&gt;0,MIN((VLOOKUP($E123,$A$232:$E$241,5,0)),(I123)),0))*(1-$T$2)</f>
        <v>0</v>
      </c>
      <c r="Q123" s="62">
        <f t="shared" si="15"/>
        <v>0</v>
      </c>
      <c r="R123" s="274" t="str">
        <f t="shared" si="16"/>
        <v/>
      </c>
      <c r="S123" s="269">
        <f>(IF(OR($B123=0,$C123=0,$D123=0),0,IF(OR($E123=0,($G123+$F123=0),$H123=0),0,MIN((VLOOKUP($E123,$A$232:$C$241,3,0))*(IF($E123=6,$P123,$O123))*((MIN((VLOOKUP($E123,$A$232:$E$241,5,0)),(IF($E123=6,$O123,$P123))))),MIN((VLOOKUP($E123,$A$232:$C$241,3,0)),($F123+$G123))*(IF($E123=6,$P123,((MIN((VLOOKUP($E123,$A$232:$E$241,5,0)),$P123)))))))))*$Q123</f>
        <v>0</v>
      </c>
      <c r="T123" s="101">
        <f t="shared" si="17"/>
        <v>0</v>
      </c>
      <c r="U123" s="122"/>
      <c r="V123" s="300"/>
      <c r="W123" s="131">
        <f t="shared" si="20"/>
        <v>0</v>
      </c>
      <c r="X123" s="62">
        <f t="shared" si="18"/>
        <v>0</v>
      </c>
      <c r="Y123" s="63" t="str">
        <f t="shared" si="11"/>
        <v/>
      </c>
      <c r="Z123" s="133">
        <f>(IF(OR($B123=0,$C123=0,$D123=0),0,IF(OR($E123=0,($G123+$F123=0),$H123=0),0,MIN((VLOOKUP($E123,$A$232:$C$241,3,0))*(IF($E123=6,$W123,$O123))*((MIN((VLOOKUP($E123,$A$232:$E$241,5,0)),(IF($E123=6,$O123,$W123))))),MIN((VLOOKUP($E123,$A$232:$C$241,3,0)),($F123+$G123))*(IF($E123=6,$W123,((MIN((VLOOKUP($E123,$A$232:$E$241,5,0)),$W123)))))))))*$X123</f>
        <v>0</v>
      </c>
      <c r="AA123" s="139">
        <f t="shared" si="12"/>
        <v>0</v>
      </c>
      <c r="AB123" s="126"/>
      <c r="AC123" s="295"/>
      <c r="AD123" s="295"/>
      <c r="AF123" s="359">
        <f t="shared" si="19"/>
        <v>0</v>
      </c>
    </row>
    <row r="124" spans="1:32" s="22" customFormat="1" ht="24.75" customHeight="1" outlineLevel="1" x14ac:dyDescent="0.2">
      <c r="A124" s="177">
        <v>121</v>
      </c>
      <c r="B124" s="325"/>
      <c r="C124" s="325"/>
      <c r="D124" s="325"/>
      <c r="E124" s="326"/>
      <c r="F124" s="327"/>
      <c r="G124" s="328"/>
      <c r="H124" s="329"/>
      <c r="I124" s="329"/>
      <c r="J124" s="330"/>
      <c r="K124" s="331">
        <f>(IF(OR($B124=0,$C124=0,$D124=0),0,IF(OR($E124=0,($G124+$F124=0),$H124=0),0,MIN((VLOOKUP($E124,$A$232:$C$241,3,0))*(IF($E124=6,$I124,$H124))*((MIN((VLOOKUP($E124,$A$232:$E$241,5,0)),(IF($E124=6,$H124,$I124))))),MIN((VLOOKUP($E124,$A$232:$C$241,3,0)),($F124+$G124))*(IF($E124=6,$I124,((MIN((VLOOKUP($E124,$A$232:$E$241,5,0)),$I124)))))))))*$J124</f>
        <v>0</v>
      </c>
      <c r="L124" s="332">
        <f t="shared" si="13"/>
        <v>0</v>
      </c>
      <c r="M124" s="333">
        <f t="shared" si="14"/>
        <v>0</v>
      </c>
      <c r="N124" s="277" t="str">
        <f>IF(E124&gt;0,MIN((VLOOKUP($E124,$A$232:$C$241,3,0)),($F124+$G124)),"")</f>
        <v/>
      </c>
      <c r="O124" s="273">
        <f>IF(E124=6,(MIN(VLOOKUP($E124,$A$232:$E$241,5,0),H124)),H124)</f>
        <v>0</v>
      </c>
      <c r="P124" s="272">
        <f>IF(E124=6,I124,IF(E124&gt;0,MIN((VLOOKUP($E124,$A$232:$E$241,5,0)),(I124)),0))*(1-$T$2)</f>
        <v>0</v>
      </c>
      <c r="Q124" s="62">
        <f t="shared" si="15"/>
        <v>0</v>
      </c>
      <c r="R124" s="274" t="str">
        <f t="shared" si="16"/>
        <v/>
      </c>
      <c r="S124" s="269">
        <f>(IF(OR($B124=0,$C124=0,$D124=0),0,IF(OR($E124=0,($G124+$F124=0),$H124=0),0,MIN((VLOOKUP($E124,$A$232:$C$241,3,0))*(IF($E124=6,$P124,$O124))*((MIN((VLOOKUP($E124,$A$232:$E$241,5,0)),(IF($E124=6,$O124,$P124))))),MIN((VLOOKUP($E124,$A$232:$C$241,3,0)),($F124+$G124))*(IF($E124=6,$P124,((MIN((VLOOKUP($E124,$A$232:$E$241,5,0)),$P124)))))))))*$Q124</f>
        <v>0</v>
      </c>
      <c r="T124" s="101">
        <f t="shared" si="17"/>
        <v>0</v>
      </c>
      <c r="U124" s="122"/>
      <c r="V124" s="300"/>
      <c r="W124" s="131">
        <f t="shared" si="20"/>
        <v>0</v>
      </c>
      <c r="X124" s="62">
        <f t="shared" si="18"/>
        <v>0</v>
      </c>
      <c r="Y124" s="63" t="str">
        <f t="shared" si="11"/>
        <v/>
      </c>
      <c r="Z124" s="133">
        <f>(IF(OR($B124=0,$C124=0,$D124=0),0,IF(OR($E124=0,($G124+$F124=0),$H124=0),0,MIN((VLOOKUP($E124,$A$232:$C$241,3,0))*(IF($E124=6,$W124,$O124))*((MIN((VLOOKUP($E124,$A$232:$E$241,5,0)),(IF($E124=6,$O124,$W124))))),MIN((VLOOKUP($E124,$A$232:$C$241,3,0)),($F124+$G124))*(IF($E124=6,$W124,((MIN((VLOOKUP($E124,$A$232:$E$241,5,0)),$W124)))))))))*$X124</f>
        <v>0</v>
      </c>
      <c r="AA124" s="139">
        <f t="shared" si="12"/>
        <v>0</v>
      </c>
      <c r="AB124" s="126"/>
      <c r="AC124" s="295"/>
      <c r="AD124" s="295"/>
      <c r="AF124" s="359">
        <f t="shared" si="19"/>
        <v>0</v>
      </c>
    </row>
    <row r="125" spans="1:32" s="22" customFormat="1" ht="24.75" customHeight="1" outlineLevel="1" x14ac:dyDescent="0.2">
      <c r="A125" s="177">
        <v>122</v>
      </c>
      <c r="B125" s="325"/>
      <c r="C125" s="325"/>
      <c r="D125" s="325"/>
      <c r="E125" s="326"/>
      <c r="F125" s="327"/>
      <c r="G125" s="328"/>
      <c r="H125" s="329"/>
      <c r="I125" s="329"/>
      <c r="J125" s="330"/>
      <c r="K125" s="331">
        <f>(IF(OR($B125=0,$C125=0,$D125=0),0,IF(OR($E125=0,($G125+$F125=0),$H125=0),0,MIN((VLOOKUP($E125,$A$232:$C$241,3,0))*(IF($E125=6,$I125,$H125))*((MIN((VLOOKUP($E125,$A$232:$E$241,5,0)),(IF($E125=6,$H125,$I125))))),MIN((VLOOKUP($E125,$A$232:$C$241,3,0)),($F125+$G125))*(IF($E125=6,$I125,((MIN((VLOOKUP($E125,$A$232:$E$241,5,0)),$I125)))))))))*$J125</f>
        <v>0</v>
      </c>
      <c r="L125" s="332">
        <f t="shared" si="13"/>
        <v>0</v>
      </c>
      <c r="M125" s="333">
        <f t="shared" si="14"/>
        <v>0</v>
      </c>
      <c r="N125" s="277" t="str">
        <f>IF(E125&gt;0,MIN((VLOOKUP($E125,$A$232:$C$241,3,0)),($F125+$G125)),"")</f>
        <v/>
      </c>
      <c r="O125" s="273">
        <f>IF(E125=6,(MIN(VLOOKUP($E125,$A$232:$E$241,5,0),H125)),H125)</f>
        <v>0</v>
      </c>
      <c r="P125" s="272">
        <f>IF(E125=6,I125,IF(E125&gt;0,MIN((VLOOKUP($E125,$A$232:$E$241,5,0)),(I125)),0))*(1-$T$2)</f>
        <v>0</v>
      </c>
      <c r="Q125" s="62">
        <f t="shared" si="15"/>
        <v>0</v>
      </c>
      <c r="R125" s="274" t="str">
        <f t="shared" si="16"/>
        <v/>
      </c>
      <c r="S125" s="269">
        <f>(IF(OR($B125=0,$C125=0,$D125=0),0,IF(OR($E125=0,($G125+$F125=0),$H125=0),0,MIN((VLOOKUP($E125,$A$232:$C$241,3,0))*(IF($E125=6,$P125,$O125))*((MIN((VLOOKUP($E125,$A$232:$E$241,5,0)),(IF($E125=6,$O125,$P125))))),MIN((VLOOKUP($E125,$A$232:$C$241,3,0)),($F125+$G125))*(IF($E125=6,$P125,((MIN((VLOOKUP($E125,$A$232:$E$241,5,0)),$P125)))))))))*$Q125</f>
        <v>0</v>
      </c>
      <c r="T125" s="101">
        <f t="shared" si="17"/>
        <v>0</v>
      </c>
      <c r="U125" s="122"/>
      <c r="V125" s="300"/>
      <c r="W125" s="131">
        <f t="shared" si="20"/>
        <v>0</v>
      </c>
      <c r="X125" s="62">
        <f t="shared" si="18"/>
        <v>0</v>
      </c>
      <c r="Y125" s="63" t="str">
        <f t="shared" si="11"/>
        <v/>
      </c>
      <c r="Z125" s="133">
        <f>(IF(OR($B125=0,$C125=0,$D125=0),0,IF(OR($E125=0,($G125+$F125=0),$H125=0),0,MIN((VLOOKUP($E125,$A$232:$C$241,3,0))*(IF($E125=6,$W125,$O125))*((MIN((VLOOKUP($E125,$A$232:$E$241,5,0)),(IF($E125=6,$O125,$W125))))),MIN((VLOOKUP($E125,$A$232:$C$241,3,0)),($F125+$G125))*(IF($E125=6,$W125,((MIN((VLOOKUP($E125,$A$232:$E$241,5,0)),$W125)))))))))*$X125</f>
        <v>0</v>
      </c>
      <c r="AA125" s="139">
        <f t="shared" si="12"/>
        <v>0</v>
      </c>
      <c r="AB125" s="126"/>
      <c r="AC125" s="295"/>
      <c r="AD125" s="295"/>
      <c r="AF125" s="359">
        <f t="shared" si="19"/>
        <v>0</v>
      </c>
    </row>
    <row r="126" spans="1:32" s="22" customFormat="1" ht="24.75" customHeight="1" outlineLevel="1" x14ac:dyDescent="0.2">
      <c r="A126" s="177">
        <v>123</v>
      </c>
      <c r="B126" s="325"/>
      <c r="C126" s="325"/>
      <c r="D126" s="325"/>
      <c r="E126" s="326"/>
      <c r="F126" s="327"/>
      <c r="G126" s="328"/>
      <c r="H126" s="329"/>
      <c r="I126" s="329"/>
      <c r="J126" s="330"/>
      <c r="K126" s="331">
        <f>(IF(OR($B126=0,$C126=0,$D126=0),0,IF(OR($E126=0,($G126+$F126=0),$H126=0),0,MIN((VLOOKUP($E126,$A$232:$C$241,3,0))*(IF($E126=6,$I126,$H126))*((MIN((VLOOKUP($E126,$A$232:$E$241,5,0)),(IF($E126=6,$H126,$I126))))),MIN((VLOOKUP($E126,$A$232:$C$241,3,0)),($F126+$G126))*(IF($E126=6,$I126,((MIN((VLOOKUP($E126,$A$232:$E$241,5,0)),$I126)))))))))*$J126</f>
        <v>0</v>
      </c>
      <c r="L126" s="332">
        <f t="shared" si="13"/>
        <v>0</v>
      </c>
      <c r="M126" s="333">
        <f t="shared" si="14"/>
        <v>0</v>
      </c>
      <c r="N126" s="277" t="str">
        <f>IF(E126&gt;0,MIN((VLOOKUP($E126,$A$232:$C$241,3,0)),($F126+$G126)),"")</f>
        <v/>
      </c>
      <c r="O126" s="273">
        <f>IF(E126=6,(MIN(VLOOKUP($E126,$A$232:$E$241,5,0),H126)),H126)</f>
        <v>0</v>
      </c>
      <c r="P126" s="272">
        <f>IF(E126=6,I126,IF(E126&gt;0,MIN((VLOOKUP($E126,$A$232:$E$241,5,0)),(I126)),0))*(1-$T$2)</f>
        <v>0</v>
      </c>
      <c r="Q126" s="62">
        <f t="shared" si="15"/>
        <v>0</v>
      </c>
      <c r="R126" s="274" t="str">
        <f t="shared" si="16"/>
        <v/>
      </c>
      <c r="S126" s="269">
        <f>(IF(OR($B126=0,$C126=0,$D126=0),0,IF(OR($E126=0,($G126+$F126=0),$H126=0),0,MIN((VLOOKUP($E126,$A$232:$C$241,3,0))*(IF($E126=6,$P126,$O126))*((MIN((VLOOKUP($E126,$A$232:$E$241,5,0)),(IF($E126=6,$O126,$P126))))),MIN((VLOOKUP($E126,$A$232:$C$241,3,0)),($F126+$G126))*(IF($E126=6,$P126,((MIN((VLOOKUP($E126,$A$232:$E$241,5,0)),$P126)))))))))*$Q126</f>
        <v>0</v>
      </c>
      <c r="T126" s="101">
        <f t="shared" si="17"/>
        <v>0</v>
      </c>
      <c r="U126" s="122"/>
      <c r="V126" s="300"/>
      <c r="W126" s="131">
        <f t="shared" si="20"/>
        <v>0</v>
      </c>
      <c r="X126" s="62">
        <f t="shared" si="18"/>
        <v>0</v>
      </c>
      <c r="Y126" s="63" t="str">
        <f t="shared" si="11"/>
        <v/>
      </c>
      <c r="Z126" s="133">
        <f>(IF(OR($B126=0,$C126=0,$D126=0),0,IF(OR($E126=0,($G126+$F126=0),$H126=0),0,MIN((VLOOKUP($E126,$A$232:$C$241,3,0))*(IF($E126=6,$W126,$O126))*((MIN((VLOOKUP($E126,$A$232:$E$241,5,0)),(IF($E126=6,$O126,$W126))))),MIN((VLOOKUP($E126,$A$232:$C$241,3,0)),($F126+$G126))*(IF($E126=6,$W126,((MIN((VLOOKUP($E126,$A$232:$E$241,5,0)),$W126)))))))))*$X126</f>
        <v>0</v>
      </c>
      <c r="AA126" s="139">
        <f t="shared" si="12"/>
        <v>0</v>
      </c>
      <c r="AB126" s="126"/>
      <c r="AC126" s="295"/>
      <c r="AD126" s="295"/>
      <c r="AF126" s="359">
        <f t="shared" si="19"/>
        <v>0</v>
      </c>
    </row>
    <row r="127" spans="1:32" s="22" customFormat="1" ht="24.75" customHeight="1" outlineLevel="1" x14ac:dyDescent="0.2">
      <c r="A127" s="177">
        <v>124</v>
      </c>
      <c r="B127" s="325"/>
      <c r="C127" s="325"/>
      <c r="D127" s="325"/>
      <c r="E127" s="326"/>
      <c r="F127" s="327"/>
      <c r="G127" s="328"/>
      <c r="H127" s="329"/>
      <c r="I127" s="329"/>
      <c r="J127" s="330"/>
      <c r="K127" s="331">
        <f>(IF(OR($B127=0,$C127=0,$D127=0),0,IF(OR($E127=0,($G127+$F127=0),$H127=0),0,MIN((VLOOKUP($E127,$A$232:$C$241,3,0))*(IF($E127=6,$I127,$H127))*((MIN((VLOOKUP($E127,$A$232:$E$241,5,0)),(IF($E127=6,$H127,$I127))))),MIN((VLOOKUP($E127,$A$232:$C$241,3,0)),($F127+$G127))*(IF($E127=6,$I127,((MIN((VLOOKUP($E127,$A$232:$E$241,5,0)),$I127)))))))))*$J127</f>
        <v>0</v>
      </c>
      <c r="L127" s="332">
        <f t="shared" si="13"/>
        <v>0</v>
      </c>
      <c r="M127" s="333">
        <f t="shared" si="14"/>
        <v>0</v>
      </c>
      <c r="N127" s="277" t="str">
        <f>IF(E127&gt;0,MIN((VLOOKUP($E127,$A$232:$C$241,3,0)),($F127+$G127)),"")</f>
        <v/>
      </c>
      <c r="O127" s="273">
        <f>IF(E127=6,(MIN(VLOOKUP($E127,$A$232:$E$241,5,0),H127)),H127)</f>
        <v>0</v>
      </c>
      <c r="P127" s="272">
        <f>IF(E127=6,I127,IF(E127&gt;0,MIN((VLOOKUP($E127,$A$232:$E$241,5,0)),(I127)),0))*(1-$T$2)</f>
        <v>0</v>
      </c>
      <c r="Q127" s="62">
        <f t="shared" si="15"/>
        <v>0</v>
      </c>
      <c r="R127" s="274" t="str">
        <f t="shared" si="16"/>
        <v/>
      </c>
      <c r="S127" s="269">
        <f>(IF(OR($B127=0,$C127=0,$D127=0),0,IF(OR($E127=0,($G127+$F127=0),$H127=0),0,MIN((VLOOKUP($E127,$A$232:$C$241,3,0))*(IF($E127=6,$P127,$O127))*((MIN((VLOOKUP($E127,$A$232:$E$241,5,0)),(IF($E127=6,$O127,$P127))))),MIN((VLOOKUP($E127,$A$232:$C$241,3,0)),($F127+$G127))*(IF($E127=6,$P127,((MIN((VLOOKUP($E127,$A$232:$E$241,5,0)),$P127)))))))))*$Q127</f>
        <v>0</v>
      </c>
      <c r="T127" s="101">
        <f t="shared" si="17"/>
        <v>0</v>
      </c>
      <c r="U127" s="122"/>
      <c r="V127" s="300"/>
      <c r="W127" s="131">
        <f t="shared" si="20"/>
        <v>0</v>
      </c>
      <c r="X127" s="62">
        <f t="shared" si="18"/>
        <v>0</v>
      </c>
      <c r="Y127" s="63" t="str">
        <f t="shared" si="11"/>
        <v/>
      </c>
      <c r="Z127" s="133">
        <f>(IF(OR($B127=0,$C127=0,$D127=0),0,IF(OR($E127=0,($G127+$F127=0),$H127=0),0,MIN((VLOOKUP($E127,$A$232:$C$241,3,0))*(IF($E127=6,$W127,$O127))*((MIN((VLOOKUP($E127,$A$232:$E$241,5,0)),(IF($E127=6,$O127,$W127))))),MIN((VLOOKUP($E127,$A$232:$C$241,3,0)),($F127+$G127))*(IF($E127=6,$W127,((MIN((VLOOKUP($E127,$A$232:$E$241,5,0)),$W127)))))))))*$X127</f>
        <v>0</v>
      </c>
      <c r="AA127" s="139">
        <f t="shared" si="12"/>
        <v>0</v>
      </c>
      <c r="AB127" s="126"/>
      <c r="AC127" s="295"/>
      <c r="AD127" s="295"/>
      <c r="AF127" s="359">
        <f t="shared" si="19"/>
        <v>0</v>
      </c>
    </row>
    <row r="128" spans="1:32" s="22" customFormat="1" ht="24.75" customHeight="1" outlineLevel="1" x14ac:dyDescent="0.2">
      <c r="A128" s="177">
        <v>125</v>
      </c>
      <c r="B128" s="325"/>
      <c r="C128" s="325"/>
      <c r="D128" s="325"/>
      <c r="E128" s="326"/>
      <c r="F128" s="327"/>
      <c r="G128" s="328"/>
      <c r="H128" s="329"/>
      <c r="I128" s="329"/>
      <c r="J128" s="330"/>
      <c r="K128" s="331">
        <f>(IF(OR($B128=0,$C128=0,$D128=0),0,IF(OR($E128=0,($G128+$F128=0),$H128=0),0,MIN((VLOOKUP($E128,$A$232:$C$241,3,0))*(IF($E128=6,$I128,$H128))*((MIN((VLOOKUP($E128,$A$232:$E$241,5,0)),(IF($E128=6,$H128,$I128))))),MIN((VLOOKUP($E128,$A$232:$C$241,3,0)),($F128+$G128))*(IF($E128=6,$I128,((MIN((VLOOKUP($E128,$A$232:$E$241,5,0)),$I128)))))))))*$J128</f>
        <v>0</v>
      </c>
      <c r="L128" s="332">
        <f t="shared" si="13"/>
        <v>0</v>
      </c>
      <c r="M128" s="333">
        <f t="shared" si="14"/>
        <v>0</v>
      </c>
      <c r="N128" s="277" t="str">
        <f>IF(E128&gt;0,MIN((VLOOKUP($E128,$A$232:$C$241,3,0)),($F128+$G128)),"")</f>
        <v/>
      </c>
      <c r="O128" s="273">
        <f>IF(E128=6,(MIN(VLOOKUP($E128,$A$232:$E$241,5,0),H128)),H128)</f>
        <v>0</v>
      </c>
      <c r="P128" s="272">
        <f>IF(E128=6,I128,IF(E128&gt;0,MIN((VLOOKUP($E128,$A$232:$E$241,5,0)),(I128)),0))*(1-$T$2)</f>
        <v>0</v>
      </c>
      <c r="Q128" s="62">
        <f t="shared" si="15"/>
        <v>0</v>
      </c>
      <c r="R128" s="274" t="str">
        <f t="shared" si="16"/>
        <v/>
      </c>
      <c r="S128" s="269">
        <f>(IF(OR($B128=0,$C128=0,$D128=0),0,IF(OR($E128=0,($G128+$F128=0),$H128=0),0,MIN((VLOOKUP($E128,$A$232:$C$241,3,0))*(IF($E128=6,$P128,$O128))*((MIN((VLOOKUP($E128,$A$232:$E$241,5,0)),(IF($E128=6,$O128,$P128))))),MIN((VLOOKUP($E128,$A$232:$C$241,3,0)),($F128+$G128))*(IF($E128=6,$P128,((MIN((VLOOKUP($E128,$A$232:$E$241,5,0)),$P128)))))))))*$Q128</f>
        <v>0</v>
      </c>
      <c r="T128" s="101">
        <f t="shared" si="17"/>
        <v>0</v>
      </c>
      <c r="U128" s="122"/>
      <c r="V128" s="300"/>
      <c r="W128" s="131">
        <f t="shared" si="20"/>
        <v>0</v>
      </c>
      <c r="X128" s="62">
        <f t="shared" si="18"/>
        <v>0</v>
      </c>
      <c r="Y128" s="63" t="str">
        <f t="shared" si="11"/>
        <v/>
      </c>
      <c r="Z128" s="133">
        <f>(IF(OR($B128=0,$C128=0,$D128=0),0,IF(OR($E128=0,($G128+$F128=0),$H128=0),0,MIN((VLOOKUP($E128,$A$232:$C$241,3,0))*(IF($E128=6,$W128,$O128))*((MIN((VLOOKUP($E128,$A$232:$E$241,5,0)),(IF($E128=6,$O128,$W128))))),MIN((VLOOKUP($E128,$A$232:$C$241,3,0)),($F128+$G128))*(IF($E128=6,$W128,((MIN((VLOOKUP($E128,$A$232:$E$241,5,0)),$W128)))))))))*$X128</f>
        <v>0</v>
      </c>
      <c r="AA128" s="139">
        <f t="shared" si="12"/>
        <v>0</v>
      </c>
      <c r="AB128" s="126"/>
      <c r="AC128" s="295"/>
      <c r="AD128" s="295"/>
      <c r="AF128" s="359">
        <f t="shared" si="19"/>
        <v>0</v>
      </c>
    </row>
    <row r="129" spans="1:32" s="22" customFormat="1" ht="24.75" customHeight="1" outlineLevel="1" x14ac:dyDescent="0.2">
      <c r="A129" s="177">
        <v>126</v>
      </c>
      <c r="B129" s="325"/>
      <c r="C129" s="325"/>
      <c r="D129" s="325"/>
      <c r="E129" s="326"/>
      <c r="F129" s="327"/>
      <c r="G129" s="328"/>
      <c r="H129" s="329"/>
      <c r="I129" s="329"/>
      <c r="J129" s="330"/>
      <c r="K129" s="331">
        <f>(IF(OR($B129=0,$C129=0,$D129=0),0,IF(OR($E129=0,($G129+$F129=0),$H129=0),0,MIN((VLOOKUP($E129,$A$232:$C$241,3,0))*(IF($E129=6,$I129,$H129))*((MIN((VLOOKUP($E129,$A$232:$E$241,5,0)),(IF($E129=6,$H129,$I129))))),MIN((VLOOKUP($E129,$A$232:$C$241,3,0)),($F129+$G129))*(IF($E129=6,$I129,((MIN((VLOOKUP($E129,$A$232:$E$241,5,0)),$I129)))))))))*$J129</f>
        <v>0</v>
      </c>
      <c r="L129" s="332">
        <f t="shared" si="13"/>
        <v>0</v>
      </c>
      <c r="M129" s="333">
        <f t="shared" si="14"/>
        <v>0</v>
      </c>
      <c r="N129" s="277" t="str">
        <f>IF(E129&gt;0,MIN((VLOOKUP($E129,$A$232:$C$241,3,0)),($F129+$G129)),"")</f>
        <v/>
      </c>
      <c r="O129" s="273">
        <f>IF(E129=6,(MIN(VLOOKUP($E129,$A$232:$E$241,5,0),H129)),H129)</f>
        <v>0</v>
      </c>
      <c r="P129" s="272">
        <f>IF(E129=6,I129,IF(E129&gt;0,MIN((VLOOKUP($E129,$A$232:$E$241,5,0)),(I129)),0))*(1-$T$2)</f>
        <v>0</v>
      </c>
      <c r="Q129" s="62">
        <f t="shared" si="15"/>
        <v>0</v>
      </c>
      <c r="R129" s="274" t="str">
        <f t="shared" si="16"/>
        <v/>
      </c>
      <c r="S129" s="269">
        <f>(IF(OR($B129=0,$C129=0,$D129=0),0,IF(OR($E129=0,($G129+$F129=0),$H129=0),0,MIN((VLOOKUP($E129,$A$232:$C$241,3,0))*(IF($E129=6,$P129,$O129))*((MIN((VLOOKUP($E129,$A$232:$E$241,5,0)),(IF($E129=6,$O129,$P129))))),MIN((VLOOKUP($E129,$A$232:$C$241,3,0)),($F129+$G129))*(IF($E129=6,$P129,((MIN((VLOOKUP($E129,$A$232:$E$241,5,0)),$P129)))))))))*$Q129</f>
        <v>0</v>
      </c>
      <c r="T129" s="101">
        <f t="shared" si="17"/>
        <v>0</v>
      </c>
      <c r="U129" s="122"/>
      <c r="V129" s="300"/>
      <c r="W129" s="131">
        <f t="shared" si="20"/>
        <v>0</v>
      </c>
      <c r="X129" s="62">
        <f t="shared" si="18"/>
        <v>0</v>
      </c>
      <c r="Y129" s="63" t="str">
        <f t="shared" si="11"/>
        <v/>
      </c>
      <c r="Z129" s="133">
        <f>(IF(OR($B129=0,$C129=0,$D129=0),0,IF(OR($E129=0,($G129+$F129=0),$H129=0),0,MIN((VLOOKUP($E129,$A$232:$C$241,3,0))*(IF($E129=6,$W129,$O129))*((MIN((VLOOKUP($E129,$A$232:$E$241,5,0)),(IF($E129=6,$O129,$W129))))),MIN((VLOOKUP($E129,$A$232:$C$241,3,0)),($F129+$G129))*(IF($E129=6,$W129,((MIN((VLOOKUP($E129,$A$232:$E$241,5,0)),$W129)))))))))*$X129</f>
        <v>0</v>
      </c>
      <c r="AA129" s="139">
        <f t="shared" si="12"/>
        <v>0</v>
      </c>
      <c r="AB129" s="126"/>
      <c r="AC129" s="295"/>
      <c r="AD129" s="295"/>
      <c r="AF129" s="359">
        <f t="shared" si="19"/>
        <v>0</v>
      </c>
    </row>
    <row r="130" spans="1:32" s="22" customFormat="1" ht="24.75" customHeight="1" outlineLevel="1" x14ac:dyDescent="0.2">
      <c r="A130" s="177">
        <v>127</v>
      </c>
      <c r="B130" s="325"/>
      <c r="C130" s="325"/>
      <c r="D130" s="325"/>
      <c r="E130" s="326"/>
      <c r="F130" s="327"/>
      <c r="G130" s="328"/>
      <c r="H130" s="329"/>
      <c r="I130" s="329"/>
      <c r="J130" s="330"/>
      <c r="K130" s="331">
        <f>(IF(OR($B130=0,$C130=0,$D130=0),0,IF(OR($E130=0,($G130+$F130=0),$H130=0),0,MIN((VLOOKUP($E130,$A$232:$C$241,3,0))*(IF($E130=6,$I130,$H130))*((MIN((VLOOKUP($E130,$A$232:$E$241,5,0)),(IF($E130=6,$H130,$I130))))),MIN((VLOOKUP($E130,$A$232:$C$241,3,0)),($F130+$G130))*(IF($E130=6,$I130,((MIN((VLOOKUP($E130,$A$232:$E$241,5,0)),$I130)))))))))*$J130</f>
        <v>0</v>
      </c>
      <c r="L130" s="332">
        <f t="shared" si="13"/>
        <v>0</v>
      </c>
      <c r="M130" s="333">
        <f t="shared" si="14"/>
        <v>0</v>
      </c>
      <c r="N130" s="277" t="str">
        <f>IF(E130&gt;0,MIN((VLOOKUP($E130,$A$232:$C$241,3,0)),($F130+$G130)),"")</f>
        <v/>
      </c>
      <c r="O130" s="273">
        <f>IF(E130=6,(MIN(VLOOKUP($E130,$A$232:$E$241,5,0),H130)),H130)</f>
        <v>0</v>
      </c>
      <c r="P130" s="272">
        <f>IF(E130=6,I130,IF(E130&gt;0,MIN((VLOOKUP($E130,$A$232:$E$241,5,0)),(I130)),0))*(1-$T$2)</f>
        <v>0</v>
      </c>
      <c r="Q130" s="62">
        <f t="shared" si="15"/>
        <v>0</v>
      </c>
      <c r="R130" s="274" t="str">
        <f t="shared" si="16"/>
        <v/>
      </c>
      <c r="S130" s="269">
        <f>(IF(OR($B130=0,$C130=0,$D130=0),0,IF(OR($E130=0,($G130+$F130=0),$H130=0),0,MIN((VLOOKUP($E130,$A$232:$C$241,3,0))*(IF($E130=6,$P130,$O130))*((MIN((VLOOKUP($E130,$A$232:$E$241,5,0)),(IF($E130=6,$O130,$P130))))),MIN((VLOOKUP($E130,$A$232:$C$241,3,0)),($F130+$G130))*(IF($E130=6,$P130,((MIN((VLOOKUP($E130,$A$232:$E$241,5,0)),$P130)))))))))*$Q130</f>
        <v>0</v>
      </c>
      <c r="T130" s="101">
        <f t="shared" si="17"/>
        <v>0</v>
      </c>
      <c r="U130" s="122"/>
      <c r="V130" s="300"/>
      <c r="W130" s="131">
        <f t="shared" si="20"/>
        <v>0</v>
      </c>
      <c r="X130" s="62">
        <f t="shared" si="18"/>
        <v>0</v>
      </c>
      <c r="Y130" s="63" t="str">
        <f t="shared" si="11"/>
        <v/>
      </c>
      <c r="Z130" s="133">
        <f>(IF(OR($B130=0,$C130=0,$D130=0),0,IF(OR($E130=0,($G130+$F130=0),$H130=0),0,MIN((VLOOKUP($E130,$A$232:$C$241,3,0))*(IF($E130=6,$W130,$O130))*((MIN((VLOOKUP($E130,$A$232:$E$241,5,0)),(IF($E130=6,$O130,$W130))))),MIN((VLOOKUP($E130,$A$232:$C$241,3,0)),($F130+$G130))*(IF($E130=6,$W130,((MIN((VLOOKUP($E130,$A$232:$E$241,5,0)),$W130)))))))))*$X130</f>
        <v>0</v>
      </c>
      <c r="AA130" s="139">
        <f t="shared" si="12"/>
        <v>0</v>
      </c>
      <c r="AB130" s="126"/>
      <c r="AC130" s="295"/>
      <c r="AD130" s="295"/>
      <c r="AF130" s="359">
        <f t="shared" si="19"/>
        <v>0</v>
      </c>
    </row>
    <row r="131" spans="1:32" s="22" customFormat="1" ht="24.75" customHeight="1" outlineLevel="1" x14ac:dyDescent="0.2">
      <c r="A131" s="177">
        <v>128</v>
      </c>
      <c r="B131" s="325"/>
      <c r="C131" s="325"/>
      <c r="D131" s="325"/>
      <c r="E131" s="326"/>
      <c r="F131" s="327"/>
      <c r="G131" s="328"/>
      <c r="H131" s="329"/>
      <c r="I131" s="329"/>
      <c r="J131" s="330"/>
      <c r="K131" s="331">
        <f>(IF(OR($B131=0,$C131=0,$D131=0),0,IF(OR($E131=0,($G131+$F131=0),$H131=0),0,MIN((VLOOKUP($E131,$A$232:$C$241,3,0))*(IF($E131=6,$I131,$H131))*((MIN((VLOOKUP($E131,$A$232:$E$241,5,0)),(IF($E131=6,$H131,$I131))))),MIN((VLOOKUP($E131,$A$232:$C$241,3,0)),($F131+$G131))*(IF($E131=6,$I131,((MIN((VLOOKUP($E131,$A$232:$E$241,5,0)),$I131)))))))))*$J131</f>
        <v>0</v>
      </c>
      <c r="L131" s="332">
        <f t="shared" si="13"/>
        <v>0</v>
      </c>
      <c r="M131" s="333">
        <f t="shared" si="14"/>
        <v>0</v>
      </c>
      <c r="N131" s="277" t="str">
        <f>IF(E131&gt;0,MIN((VLOOKUP($E131,$A$232:$C$241,3,0)),($F131+$G131)),"")</f>
        <v/>
      </c>
      <c r="O131" s="273">
        <f>IF(E131=6,(MIN(VLOOKUP($E131,$A$232:$E$241,5,0),H131)),H131)</f>
        <v>0</v>
      </c>
      <c r="P131" s="272">
        <f>IF(E131=6,I131,IF(E131&gt;0,MIN((VLOOKUP($E131,$A$232:$E$241,5,0)),(I131)),0))*(1-$T$2)</f>
        <v>0</v>
      </c>
      <c r="Q131" s="62">
        <f t="shared" si="15"/>
        <v>0</v>
      </c>
      <c r="R131" s="274" t="str">
        <f t="shared" si="16"/>
        <v/>
      </c>
      <c r="S131" s="269">
        <f>(IF(OR($B131=0,$C131=0,$D131=0),0,IF(OR($E131=0,($G131+$F131=0),$H131=0),0,MIN((VLOOKUP($E131,$A$232:$C$241,3,0))*(IF($E131=6,$P131,$O131))*((MIN((VLOOKUP($E131,$A$232:$E$241,5,0)),(IF($E131=6,$O131,$P131))))),MIN((VLOOKUP($E131,$A$232:$C$241,3,0)),($F131+$G131))*(IF($E131=6,$P131,((MIN((VLOOKUP($E131,$A$232:$E$241,5,0)),$P131)))))))))*$Q131</f>
        <v>0</v>
      </c>
      <c r="T131" s="101">
        <f t="shared" si="17"/>
        <v>0</v>
      </c>
      <c r="U131" s="122"/>
      <c r="V131" s="300"/>
      <c r="W131" s="131">
        <f t="shared" si="20"/>
        <v>0</v>
      </c>
      <c r="X131" s="62">
        <f t="shared" si="18"/>
        <v>0</v>
      </c>
      <c r="Y131" s="63" t="str">
        <f t="shared" si="11"/>
        <v/>
      </c>
      <c r="Z131" s="133">
        <f>(IF(OR($B131=0,$C131=0,$D131=0),0,IF(OR($E131=0,($G131+$F131=0),$H131=0),0,MIN((VLOOKUP($E131,$A$232:$C$241,3,0))*(IF($E131=6,$W131,$O131))*((MIN((VLOOKUP($E131,$A$232:$E$241,5,0)),(IF($E131=6,$O131,$W131))))),MIN((VLOOKUP($E131,$A$232:$C$241,3,0)),($F131+$G131))*(IF($E131=6,$W131,((MIN((VLOOKUP($E131,$A$232:$E$241,5,0)),$W131)))))))))*$X131</f>
        <v>0</v>
      </c>
      <c r="AA131" s="139">
        <f t="shared" si="12"/>
        <v>0</v>
      </c>
      <c r="AB131" s="126"/>
      <c r="AC131" s="295"/>
      <c r="AD131" s="295"/>
      <c r="AF131" s="359">
        <f t="shared" si="19"/>
        <v>0</v>
      </c>
    </row>
    <row r="132" spans="1:32" s="22" customFormat="1" ht="24.75" customHeight="1" outlineLevel="1" x14ac:dyDescent="0.2">
      <c r="A132" s="177">
        <v>129</v>
      </c>
      <c r="B132" s="325"/>
      <c r="C132" s="325"/>
      <c r="D132" s="325"/>
      <c r="E132" s="326"/>
      <c r="F132" s="327"/>
      <c r="G132" s="328"/>
      <c r="H132" s="329"/>
      <c r="I132" s="329"/>
      <c r="J132" s="330"/>
      <c r="K132" s="331">
        <f>(IF(OR($B132=0,$C132=0,$D132=0),0,IF(OR($E132=0,($G132+$F132=0),$H132=0),0,MIN((VLOOKUP($E132,$A$232:$C$241,3,0))*(IF($E132=6,$I132,$H132))*((MIN((VLOOKUP($E132,$A$232:$E$241,5,0)),(IF($E132=6,$H132,$I132))))),MIN((VLOOKUP($E132,$A$232:$C$241,3,0)),($F132+$G132))*(IF($E132=6,$I132,((MIN((VLOOKUP($E132,$A$232:$E$241,5,0)),$I132)))))))))*$J132</f>
        <v>0</v>
      </c>
      <c r="L132" s="332">
        <f t="shared" si="13"/>
        <v>0</v>
      </c>
      <c r="M132" s="333">
        <f t="shared" si="14"/>
        <v>0</v>
      </c>
      <c r="N132" s="277" t="str">
        <f>IF(E132&gt;0,MIN((VLOOKUP($E132,$A$232:$C$241,3,0)),($F132+$G132)),"")</f>
        <v/>
      </c>
      <c r="O132" s="273">
        <f>IF(E132=6,(MIN(VLOOKUP($E132,$A$232:$E$241,5,0),H132)),H132)</f>
        <v>0</v>
      </c>
      <c r="P132" s="272">
        <f>IF(E132=6,I132,IF(E132&gt;0,MIN((VLOOKUP($E132,$A$232:$E$241,5,0)),(I132)),0))*(1-$T$2)</f>
        <v>0</v>
      </c>
      <c r="Q132" s="62">
        <f t="shared" si="15"/>
        <v>0</v>
      </c>
      <c r="R132" s="274" t="str">
        <f t="shared" si="16"/>
        <v/>
      </c>
      <c r="S132" s="269">
        <f>(IF(OR($B132=0,$C132=0,$D132=0),0,IF(OR($E132=0,($G132+$F132=0),$H132=0),0,MIN((VLOOKUP($E132,$A$232:$C$241,3,0))*(IF($E132=6,$P132,$O132))*((MIN((VLOOKUP($E132,$A$232:$E$241,5,0)),(IF($E132=6,$O132,$P132))))),MIN((VLOOKUP($E132,$A$232:$C$241,3,0)),($F132+$G132))*(IF($E132=6,$P132,((MIN((VLOOKUP($E132,$A$232:$E$241,5,0)),$P132)))))))))*$Q132</f>
        <v>0</v>
      </c>
      <c r="T132" s="101">
        <f t="shared" si="17"/>
        <v>0</v>
      </c>
      <c r="U132" s="122"/>
      <c r="V132" s="300"/>
      <c r="W132" s="131">
        <f t="shared" si="20"/>
        <v>0</v>
      </c>
      <c r="X132" s="62">
        <f t="shared" si="18"/>
        <v>0</v>
      </c>
      <c r="Y132" s="63" t="str">
        <f t="shared" ref="Y132:Y195" si="21">IF(0.1&gt;W132,(IF(W132&gt;0.00001,"עצור: אחוז תעסוקה נמוך מ-10%","")),(IF(AND($AA$2&gt;0,W132&gt;0),(IF(($AA$2*P132=W132),"קיצוץ אחיד","נא להזין נימוק")),(IF((W132-P132=0),(IF((X132-Q132=0),"","נא להזין נימוק")),"נא להזין נימוק")))))</f>
        <v/>
      </c>
      <c r="Z132" s="133">
        <f>(IF(OR($B132=0,$C132=0,$D132=0),0,IF(OR($E132=0,($G132+$F132=0),$H132=0),0,MIN((VLOOKUP($E132,$A$232:$C$241,3,0))*(IF($E132=6,$W132,$O132))*((MIN((VLOOKUP($E132,$A$232:$E$241,5,0)),(IF($E132=6,$O132,$W132))))),MIN((VLOOKUP($E132,$A$232:$C$241,3,0)),($F132+$G132))*(IF($E132=6,$W132,((MIN((VLOOKUP($E132,$A$232:$E$241,5,0)),$W132)))))))))*$X132</f>
        <v>0</v>
      </c>
      <c r="AA132" s="139">
        <f t="shared" ref="AA132:AA195" si="22">O132*W132*X132/12</f>
        <v>0</v>
      </c>
      <c r="AB132" s="126"/>
      <c r="AC132" s="295"/>
      <c r="AD132" s="295"/>
      <c r="AF132" s="359">
        <f t="shared" si="19"/>
        <v>0</v>
      </c>
    </row>
    <row r="133" spans="1:32" s="22" customFormat="1" ht="24.75" customHeight="1" outlineLevel="1" x14ac:dyDescent="0.2">
      <c r="A133" s="177">
        <v>130</v>
      </c>
      <c r="B133" s="325"/>
      <c r="C133" s="325"/>
      <c r="D133" s="325"/>
      <c r="E133" s="326"/>
      <c r="F133" s="327"/>
      <c r="G133" s="328"/>
      <c r="H133" s="329"/>
      <c r="I133" s="329"/>
      <c r="J133" s="330"/>
      <c r="K133" s="331">
        <f>(IF(OR($B133=0,$C133=0,$D133=0),0,IF(OR($E133=0,($G133+$F133=0),$H133=0),0,MIN((VLOOKUP($E133,$A$232:$C$241,3,0))*(IF($E133=6,$I133,$H133))*((MIN((VLOOKUP($E133,$A$232:$E$241,5,0)),(IF($E133=6,$H133,$I133))))),MIN((VLOOKUP($E133,$A$232:$C$241,3,0)),($F133+$G133))*(IF($E133=6,$I133,((MIN((VLOOKUP($E133,$A$232:$E$241,5,0)),$I133)))))))))*$J133</f>
        <v>0</v>
      </c>
      <c r="L133" s="332">
        <f t="shared" ref="L133:L196" si="23">J133*I133*H133/12</f>
        <v>0</v>
      </c>
      <c r="M133" s="333">
        <f t="shared" ref="M133:M196" si="24">(F133+G133)*J133</f>
        <v>0</v>
      </c>
      <c r="N133" s="277" t="str">
        <f>IF(E133&gt;0,MIN((VLOOKUP($E133,$A$232:$C$241,3,0)),($F133+$G133)),"")</f>
        <v/>
      </c>
      <c r="O133" s="273">
        <f>IF(E133=6,(MIN(VLOOKUP($E133,$A$232:$E$241,5,0),H133)),H133)</f>
        <v>0</v>
      </c>
      <c r="P133" s="272">
        <f>IF(E133=6,I133,IF(E133&gt;0,MIN((VLOOKUP($E133,$A$232:$E$241,5,0)),(I133)),0))*(1-$T$2)</f>
        <v>0</v>
      </c>
      <c r="Q133" s="62">
        <f t="shared" ref="Q133:Q196" si="25">J133</f>
        <v>0</v>
      </c>
      <c r="R133" s="274" t="str">
        <f t="shared" ref="R133:R196" si="26">IF(AND(E133=6,O133&lt;H133,H133&gt;0.333333),"סגל אקדמי: משרה עד-33%",IF( 0.1&gt;P133,(IF(P133&gt;0.00001,"עצור: אחוז תעסוקה נמוך מ-10%","")),(IF(AND($T$2&gt;0,$T$2&lt;1,P133&gt;0),(IF(($T$2*I133=P133),"קיצוץ אחיד","נא להזין נימוק")),(IF((P133-I133=0),(IF((Q133-J133=0),"","נא להזין נימוק")),"נא להזין נימוק"))))))</f>
        <v/>
      </c>
      <c r="S133" s="269">
        <f>(IF(OR($B133=0,$C133=0,$D133=0),0,IF(OR($E133=0,($G133+$F133=0),$H133=0),0,MIN((VLOOKUP($E133,$A$232:$C$241,3,0))*(IF($E133=6,$P133,$O133))*((MIN((VLOOKUP($E133,$A$232:$E$241,5,0)),(IF($E133=6,$O133,$P133))))),MIN((VLOOKUP($E133,$A$232:$C$241,3,0)),($F133+$G133))*(IF($E133=6,$P133,((MIN((VLOOKUP($E133,$A$232:$E$241,5,0)),$P133)))))))))*$Q133</f>
        <v>0</v>
      </c>
      <c r="T133" s="101">
        <f t="shared" ref="T133:T196" si="27">O133*P133*Q133/12</f>
        <v>0</v>
      </c>
      <c r="U133" s="122"/>
      <c r="V133" s="300"/>
      <c r="W133" s="131">
        <f t="shared" si="20"/>
        <v>0</v>
      </c>
      <c r="X133" s="62">
        <f t="shared" ref="X133:X196" si="28">Q133</f>
        <v>0</v>
      </c>
      <c r="Y133" s="63" t="str">
        <f t="shared" si="21"/>
        <v/>
      </c>
      <c r="Z133" s="133">
        <f>(IF(OR($B133=0,$C133=0,$D133=0),0,IF(OR($E133=0,($G133+$F133=0),$H133=0),0,MIN((VLOOKUP($E133,$A$232:$C$241,3,0))*(IF($E133=6,$W133,$O133))*((MIN((VLOOKUP($E133,$A$232:$E$241,5,0)),(IF($E133=6,$O133,$W133))))),MIN((VLOOKUP($E133,$A$232:$C$241,3,0)),($F133+$G133))*(IF($E133=6,$W133,((MIN((VLOOKUP($E133,$A$232:$E$241,5,0)),$W133)))))))))*$X133</f>
        <v>0</v>
      </c>
      <c r="AA133" s="139">
        <f t="shared" si="22"/>
        <v>0</v>
      </c>
      <c r="AB133" s="126"/>
      <c r="AC133" s="295"/>
      <c r="AD133" s="295"/>
      <c r="AF133" s="359">
        <f t="shared" ref="AF133:AF196" si="29">+F133+G133</f>
        <v>0</v>
      </c>
    </row>
    <row r="134" spans="1:32" s="22" customFormat="1" ht="24.75" customHeight="1" outlineLevel="1" x14ac:dyDescent="0.2">
      <c r="A134" s="177">
        <v>131</v>
      </c>
      <c r="B134" s="325"/>
      <c r="C134" s="325"/>
      <c r="D134" s="325"/>
      <c r="E134" s="326"/>
      <c r="F134" s="327"/>
      <c r="G134" s="328"/>
      <c r="H134" s="329"/>
      <c r="I134" s="329"/>
      <c r="J134" s="330"/>
      <c r="K134" s="331">
        <f>(IF(OR($B134=0,$C134=0,$D134=0),0,IF(OR($E134=0,($G134+$F134=0),$H134=0),0,MIN((VLOOKUP($E134,$A$232:$C$241,3,0))*(IF($E134=6,$I134,$H134))*((MIN((VLOOKUP($E134,$A$232:$E$241,5,0)),(IF($E134=6,$H134,$I134))))),MIN((VLOOKUP($E134,$A$232:$C$241,3,0)),($F134+$G134))*(IF($E134=6,$I134,((MIN((VLOOKUP($E134,$A$232:$E$241,5,0)),$I134)))))))))*$J134</f>
        <v>0</v>
      </c>
      <c r="L134" s="332">
        <f t="shared" si="23"/>
        <v>0</v>
      </c>
      <c r="M134" s="333">
        <f t="shared" si="24"/>
        <v>0</v>
      </c>
      <c r="N134" s="277" t="str">
        <f>IF(E134&gt;0,MIN((VLOOKUP($E134,$A$232:$C$241,3,0)),($F134+$G134)),"")</f>
        <v/>
      </c>
      <c r="O134" s="273">
        <f>IF(E134=6,(MIN(VLOOKUP($E134,$A$232:$E$241,5,0),H134)),H134)</f>
        <v>0</v>
      </c>
      <c r="P134" s="272">
        <f>IF(E134=6,I134,IF(E134&gt;0,MIN((VLOOKUP($E134,$A$232:$E$241,5,0)),(I134)),0))*(1-$T$2)</f>
        <v>0</v>
      </c>
      <c r="Q134" s="62">
        <f t="shared" si="25"/>
        <v>0</v>
      </c>
      <c r="R134" s="274" t="str">
        <f t="shared" si="26"/>
        <v/>
      </c>
      <c r="S134" s="269">
        <f>(IF(OR($B134=0,$C134=0,$D134=0),0,IF(OR($E134=0,($G134+$F134=0),$H134=0),0,MIN((VLOOKUP($E134,$A$232:$C$241,3,0))*(IF($E134=6,$P134,$O134))*((MIN((VLOOKUP($E134,$A$232:$E$241,5,0)),(IF($E134=6,$O134,$P134))))),MIN((VLOOKUP($E134,$A$232:$C$241,3,0)),($F134+$G134))*(IF($E134=6,$P134,((MIN((VLOOKUP($E134,$A$232:$E$241,5,0)),$P134)))))))))*$Q134</f>
        <v>0</v>
      </c>
      <c r="T134" s="101">
        <f t="shared" si="27"/>
        <v>0</v>
      </c>
      <c r="U134" s="122"/>
      <c r="V134" s="300"/>
      <c r="W134" s="131">
        <f t="shared" si="20"/>
        <v>0</v>
      </c>
      <c r="X134" s="62">
        <f t="shared" si="28"/>
        <v>0</v>
      </c>
      <c r="Y134" s="63" t="str">
        <f t="shared" si="21"/>
        <v/>
      </c>
      <c r="Z134" s="133">
        <f>(IF(OR($B134=0,$C134=0,$D134=0),0,IF(OR($E134=0,($G134+$F134=0),$H134=0),0,MIN((VLOOKUP($E134,$A$232:$C$241,3,0))*(IF($E134=6,$W134,$O134))*((MIN((VLOOKUP($E134,$A$232:$E$241,5,0)),(IF($E134=6,$O134,$W134))))),MIN((VLOOKUP($E134,$A$232:$C$241,3,0)),($F134+$G134))*(IF($E134=6,$W134,((MIN((VLOOKUP($E134,$A$232:$E$241,5,0)),$W134)))))))))*$X134</f>
        <v>0</v>
      </c>
      <c r="AA134" s="139">
        <f t="shared" si="22"/>
        <v>0</v>
      </c>
      <c r="AB134" s="126"/>
      <c r="AC134" s="295"/>
      <c r="AD134" s="295"/>
      <c r="AF134" s="359">
        <f t="shared" si="29"/>
        <v>0</v>
      </c>
    </row>
    <row r="135" spans="1:32" s="22" customFormat="1" ht="24.75" customHeight="1" outlineLevel="1" x14ac:dyDescent="0.2">
      <c r="A135" s="177">
        <v>132</v>
      </c>
      <c r="B135" s="325"/>
      <c r="C135" s="325"/>
      <c r="D135" s="325"/>
      <c r="E135" s="326"/>
      <c r="F135" s="327"/>
      <c r="G135" s="328"/>
      <c r="H135" s="329"/>
      <c r="I135" s="329"/>
      <c r="J135" s="330"/>
      <c r="K135" s="331">
        <f>(IF(OR($B135=0,$C135=0,$D135=0),0,IF(OR($E135=0,($G135+$F135=0),$H135=0),0,MIN((VLOOKUP($E135,$A$232:$C$241,3,0))*(IF($E135=6,$I135,$H135))*((MIN((VLOOKUP($E135,$A$232:$E$241,5,0)),(IF($E135=6,$H135,$I135))))),MIN((VLOOKUP($E135,$A$232:$C$241,3,0)),($F135+$G135))*(IF($E135=6,$I135,((MIN((VLOOKUP($E135,$A$232:$E$241,5,0)),$I135)))))))))*$J135</f>
        <v>0</v>
      </c>
      <c r="L135" s="332">
        <f t="shared" si="23"/>
        <v>0</v>
      </c>
      <c r="M135" s="333">
        <f t="shared" si="24"/>
        <v>0</v>
      </c>
      <c r="N135" s="277" t="str">
        <f>IF(E135&gt;0,MIN((VLOOKUP($E135,$A$232:$C$241,3,0)),($F135+$G135)),"")</f>
        <v/>
      </c>
      <c r="O135" s="273">
        <f>IF(E135=6,(MIN(VLOOKUP($E135,$A$232:$E$241,5,0),H135)),H135)</f>
        <v>0</v>
      </c>
      <c r="P135" s="272">
        <f>IF(E135=6,I135,IF(E135&gt;0,MIN((VLOOKUP($E135,$A$232:$E$241,5,0)),(I135)),0))*(1-$T$2)</f>
        <v>0</v>
      </c>
      <c r="Q135" s="62">
        <f t="shared" si="25"/>
        <v>0</v>
      </c>
      <c r="R135" s="274" t="str">
        <f t="shared" si="26"/>
        <v/>
      </c>
      <c r="S135" s="269">
        <f>(IF(OR($B135=0,$C135=0,$D135=0),0,IF(OR($E135=0,($G135+$F135=0),$H135=0),0,MIN((VLOOKUP($E135,$A$232:$C$241,3,0))*(IF($E135=6,$P135,$O135))*((MIN((VLOOKUP($E135,$A$232:$E$241,5,0)),(IF($E135=6,$O135,$P135))))),MIN((VLOOKUP($E135,$A$232:$C$241,3,0)),($F135+$G135))*(IF($E135=6,$P135,((MIN((VLOOKUP($E135,$A$232:$E$241,5,0)),$P135)))))))))*$Q135</f>
        <v>0</v>
      </c>
      <c r="T135" s="101">
        <f t="shared" si="27"/>
        <v>0</v>
      </c>
      <c r="U135" s="122"/>
      <c r="V135" s="300"/>
      <c r="W135" s="131">
        <f t="shared" si="20"/>
        <v>0</v>
      </c>
      <c r="X135" s="62">
        <f t="shared" si="28"/>
        <v>0</v>
      </c>
      <c r="Y135" s="63" t="str">
        <f t="shared" si="21"/>
        <v/>
      </c>
      <c r="Z135" s="133">
        <f>(IF(OR($B135=0,$C135=0,$D135=0),0,IF(OR($E135=0,($G135+$F135=0),$H135=0),0,MIN((VLOOKUP($E135,$A$232:$C$241,3,0))*(IF($E135=6,$W135,$O135))*((MIN((VLOOKUP($E135,$A$232:$E$241,5,0)),(IF($E135=6,$O135,$W135))))),MIN((VLOOKUP($E135,$A$232:$C$241,3,0)),($F135+$G135))*(IF($E135=6,$W135,((MIN((VLOOKUP($E135,$A$232:$E$241,5,0)),$W135)))))))))*$X135</f>
        <v>0</v>
      </c>
      <c r="AA135" s="139">
        <f t="shared" si="22"/>
        <v>0</v>
      </c>
      <c r="AB135" s="126"/>
      <c r="AC135" s="295"/>
      <c r="AD135" s="295"/>
      <c r="AF135" s="359">
        <f t="shared" si="29"/>
        <v>0</v>
      </c>
    </row>
    <row r="136" spans="1:32" s="22" customFormat="1" ht="24.75" customHeight="1" outlineLevel="1" x14ac:dyDescent="0.2">
      <c r="A136" s="177">
        <v>133</v>
      </c>
      <c r="B136" s="325"/>
      <c r="C136" s="325"/>
      <c r="D136" s="325"/>
      <c r="E136" s="326"/>
      <c r="F136" s="327"/>
      <c r="G136" s="328"/>
      <c r="H136" s="329"/>
      <c r="I136" s="329"/>
      <c r="J136" s="330"/>
      <c r="K136" s="331">
        <f>(IF(OR($B136=0,$C136=0,$D136=0),0,IF(OR($E136=0,($G136+$F136=0),$H136=0),0,MIN((VLOOKUP($E136,$A$232:$C$241,3,0))*(IF($E136=6,$I136,$H136))*((MIN((VLOOKUP($E136,$A$232:$E$241,5,0)),(IF($E136=6,$H136,$I136))))),MIN((VLOOKUP($E136,$A$232:$C$241,3,0)),($F136+$G136))*(IF($E136=6,$I136,((MIN((VLOOKUP($E136,$A$232:$E$241,5,0)),$I136)))))))))*$J136</f>
        <v>0</v>
      </c>
      <c r="L136" s="332">
        <f t="shared" si="23"/>
        <v>0</v>
      </c>
      <c r="M136" s="333">
        <f t="shared" si="24"/>
        <v>0</v>
      </c>
      <c r="N136" s="277" t="str">
        <f>IF(E136&gt;0,MIN((VLOOKUP($E136,$A$232:$C$241,3,0)),($F136+$G136)),"")</f>
        <v/>
      </c>
      <c r="O136" s="273">
        <f>IF(E136=6,(MIN(VLOOKUP($E136,$A$232:$E$241,5,0),H136)),H136)</f>
        <v>0</v>
      </c>
      <c r="P136" s="272">
        <f>IF(E136=6,I136,IF(E136&gt;0,MIN((VLOOKUP($E136,$A$232:$E$241,5,0)),(I136)),0))*(1-$T$2)</f>
        <v>0</v>
      </c>
      <c r="Q136" s="62">
        <f t="shared" si="25"/>
        <v>0</v>
      </c>
      <c r="R136" s="274" t="str">
        <f t="shared" si="26"/>
        <v/>
      </c>
      <c r="S136" s="269">
        <f>(IF(OR($B136=0,$C136=0,$D136=0),0,IF(OR($E136=0,($G136+$F136=0),$H136=0),0,MIN((VLOOKUP($E136,$A$232:$C$241,3,0))*(IF($E136=6,$P136,$O136))*((MIN((VLOOKUP($E136,$A$232:$E$241,5,0)),(IF($E136=6,$O136,$P136))))),MIN((VLOOKUP($E136,$A$232:$C$241,3,0)),($F136+$G136))*(IF($E136=6,$P136,((MIN((VLOOKUP($E136,$A$232:$E$241,5,0)),$P136)))))))))*$Q136</f>
        <v>0</v>
      </c>
      <c r="T136" s="101">
        <f t="shared" si="27"/>
        <v>0</v>
      </c>
      <c r="U136" s="122"/>
      <c r="V136" s="300"/>
      <c r="W136" s="131">
        <f t="shared" si="20"/>
        <v>0</v>
      </c>
      <c r="X136" s="62">
        <f t="shared" si="28"/>
        <v>0</v>
      </c>
      <c r="Y136" s="63" t="str">
        <f t="shared" si="21"/>
        <v/>
      </c>
      <c r="Z136" s="133">
        <f>(IF(OR($B136=0,$C136=0,$D136=0),0,IF(OR($E136=0,($G136+$F136=0),$H136=0),0,MIN((VLOOKUP($E136,$A$232:$C$241,3,0))*(IF($E136=6,$W136,$O136))*((MIN((VLOOKUP($E136,$A$232:$E$241,5,0)),(IF($E136=6,$O136,$W136))))),MIN((VLOOKUP($E136,$A$232:$C$241,3,0)),($F136+$G136))*(IF($E136=6,$W136,((MIN((VLOOKUP($E136,$A$232:$E$241,5,0)),$W136)))))))))*$X136</f>
        <v>0</v>
      </c>
      <c r="AA136" s="139">
        <f t="shared" si="22"/>
        <v>0</v>
      </c>
      <c r="AB136" s="126"/>
      <c r="AC136" s="295"/>
      <c r="AD136" s="295"/>
      <c r="AF136" s="359">
        <f t="shared" si="29"/>
        <v>0</v>
      </c>
    </row>
    <row r="137" spans="1:32" s="22" customFormat="1" ht="24.75" customHeight="1" outlineLevel="1" x14ac:dyDescent="0.2">
      <c r="A137" s="177">
        <v>134</v>
      </c>
      <c r="B137" s="325"/>
      <c r="C137" s="325"/>
      <c r="D137" s="325"/>
      <c r="E137" s="326"/>
      <c r="F137" s="327"/>
      <c r="G137" s="328"/>
      <c r="H137" s="329"/>
      <c r="I137" s="329"/>
      <c r="J137" s="330"/>
      <c r="K137" s="331">
        <f>(IF(OR($B137=0,$C137=0,$D137=0),0,IF(OR($E137=0,($G137+$F137=0),$H137=0),0,MIN((VLOOKUP($E137,$A$232:$C$241,3,0))*(IF($E137=6,$I137,$H137))*((MIN((VLOOKUP($E137,$A$232:$E$241,5,0)),(IF($E137=6,$H137,$I137))))),MIN((VLOOKUP($E137,$A$232:$C$241,3,0)),($F137+$G137))*(IF($E137=6,$I137,((MIN((VLOOKUP($E137,$A$232:$E$241,5,0)),$I137)))))))))*$J137</f>
        <v>0</v>
      </c>
      <c r="L137" s="332">
        <f t="shared" si="23"/>
        <v>0</v>
      </c>
      <c r="M137" s="333">
        <f t="shared" si="24"/>
        <v>0</v>
      </c>
      <c r="N137" s="277" t="str">
        <f>IF(E137&gt;0,MIN((VLOOKUP($E137,$A$232:$C$241,3,0)),($F137+$G137)),"")</f>
        <v/>
      </c>
      <c r="O137" s="273">
        <f>IF(E137=6,(MIN(VLOOKUP($E137,$A$232:$E$241,5,0),H137)),H137)</f>
        <v>0</v>
      </c>
      <c r="P137" s="272">
        <f>IF(E137=6,I137,IF(E137&gt;0,MIN((VLOOKUP($E137,$A$232:$E$241,5,0)),(I137)),0))*(1-$T$2)</f>
        <v>0</v>
      </c>
      <c r="Q137" s="62">
        <f t="shared" si="25"/>
        <v>0</v>
      </c>
      <c r="R137" s="274" t="str">
        <f t="shared" si="26"/>
        <v/>
      </c>
      <c r="S137" s="269">
        <f>(IF(OR($B137=0,$C137=0,$D137=0),0,IF(OR($E137=0,($G137+$F137=0),$H137=0),0,MIN((VLOOKUP($E137,$A$232:$C$241,3,0))*(IF($E137=6,$P137,$O137))*((MIN((VLOOKUP($E137,$A$232:$E$241,5,0)),(IF($E137=6,$O137,$P137))))),MIN((VLOOKUP($E137,$A$232:$C$241,3,0)),($F137+$G137))*(IF($E137=6,$P137,((MIN((VLOOKUP($E137,$A$232:$E$241,5,0)),$P137)))))))))*$Q137</f>
        <v>0</v>
      </c>
      <c r="T137" s="101">
        <f t="shared" si="27"/>
        <v>0</v>
      </c>
      <c r="U137" s="122"/>
      <c r="V137" s="300"/>
      <c r="W137" s="131">
        <f t="shared" si="20"/>
        <v>0</v>
      </c>
      <c r="X137" s="62">
        <f t="shared" si="28"/>
        <v>0</v>
      </c>
      <c r="Y137" s="63" t="str">
        <f t="shared" si="21"/>
        <v/>
      </c>
      <c r="Z137" s="133">
        <f>(IF(OR($B137=0,$C137=0,$D137=0),0,IF(OR($E137=0,($G137+$F137=0),$H137=0),0,MIN((VLOOKUP($E137,$A$232:$C$241,3,0))*(IF($E137=6,$W137,$O137))*((MIN((VLOOKUP($E137,$A$232:$E$241,5,0)),(IF($E137=6,$O137,$W137))))),MIN((VLOOKUP($E137,$A$232:$C$241,3,0)),($F137+$G137))*(IF($E137=6,$W137,((MIN((VLOOKUP($E137,$A$232:$E$241,5,0)),$W137)))))))))*$X137</f>
        <v>0</v>
      </c>
      <c r="AA137" s="139">
        <f t="shared" si="22"/>
        <v>0</v>
      </c>
      <c r="AB137" s="126"/>
      <c r="AC137" s="295"/>
      <c r="AD137" s="295"/>
      <c r="AF137" s="359">
        <f t="shared" si="29"/>
        <v>0</v>
      </c>
    </row>
    <row r="138" spans="1:32" s="22" customFormat="1" ht="24.75" customHeight="1" outlineLevel="1" x14ac:dyDescent="0.2">
      <c r="A138" s="177">
        <v>135</v>
      </c>
      <c r="B138" s="325"/>
      <c r="C138" s="325"/>
      <c r="D138" s="325"/>
      <c r="E138" s="326"/>
      <c r="F138" s="327"/>
      <c r="G138" s="328"/>
      <c r="H138" s="329"/>
      <c r="I138" s="329"/>
      <c r="J138" s="330"/>
      <c r="K138" s="331">
        <f>(IF(OR($B138=0,$C138=0,$D138=0),0,IF(OR($E138=0,($G138+$F138=0),$H138=0),0,MIN((VLOOKUP($E138,$A$232:$C$241,3,0))*(IF($E138=6,$I138,$H138))*((MIN((VLOOKUP($E138,$A$232:$E$241,5,0)),(IF($E138=6,$H138,$I138))))),MIN((VLOOKUP($E138,$A$232:$C$241,3,0)),($F138+$G138))*(IF($E138=6,$I138,((MIN((VLOOKUP($E138,$A$232:$E$241,5,0)),$I138)))))))))*$J138</f>
        <v>0</v>
      </c>
      <c r="L138" s="332">
        <f t="shared" si="23"/>
        <v>0</v>
      </c>
      <c r="M138" s="333">
        <f t="shared" si="24"/>
        <v>0</v>
      </c>
      <c r="N138" s="277" t="str">
        <f>IF(E138&gt;0,MIN((VLOOKUP($E138,$A$232:$C$241,3,0)),($F138+$G138)),"")</f>
        <v/>
      </c>
      <c r="O138" s="273">
        <f>IF(E138=6,(MIN(VLOOKUP($E138,$A$232:$E$241,5,0),H138)),H138)</f>
        <v>0</v>
      </c>
      <c r="P138" s="272">
        <f>IF(E138=6,I138,IF(E138&gt;0,MIN((VLOOKUP($E138,$A$232:$E$241,5,0)),(I138)),0))*(1-$T$2)</f>
        <v>0</v>
      </c>
      <c r="Q138" s="62">
        <f t="shared" si="25"/>
        <v>0</v>
      </c>
      <c r="R138" s="274" t="str">
        <f t="shared" si="26"/>
        <v/>
      </c>
      <c r="S138" s="269">
        <f>(IF(OR($B138=0,$C138=0,$D138=0),0,IF(OR($E138=0,($G138+$F138=0),$H138=0),0,MIN((VLOOKUP($E138,$A$232:$C$241,3,0))*(IF($E138=6,$P138,$O138))*((MIN((VLOOKUP($E138,$A$232:$E$241,5,0)),(IF($E138=6,$O138,$P138))))),MIN((VLOOKUP($E138,$A$232:$C$241,3,0)),($F138+$G138))*(IF($E138=6,$P138,((MIN((VLOOKUP($E138,$A$232:$E$241,5,0)),$P138)))))))))*$Q138</f>
        <v>0</v>
      </c>
      <c r="T138" s="101">
        <f t="shared" si="27"/>
        <v>0</v>
      </c>
      <c r="U138" s="122"/>
      <c r="V138" s="300"/>
      <c r="W138" s="131">
        <f t="shared" si="20"/>
        <v>0</v>
      </c>
      <c r="X138" s="62">
        <f t="shared" si="28"/>
        <v>0</v>
      </c>
      <c r="Y138" s="63" t="str">
        <f t="shared" si="21"/>
        <v/>
      </c>
      <c r="Z138" s="133">
        <f>(IF(OR($B138=0,$C138=0,$D138=0),0,IF(OR($E138=0,($G138+$F138=0),$H138=0),0,MIN((VLOOKUP($E138,$A$232:$C$241,3,0))*(IF($E138=6,$W138,$O138))*((MIN((VLOOKUP($E138,$A$232:$E$241,5,0)),(IF($E138=6,$O138,$W138))))),MIN((VLOOKUP($E138,$A$232:$C$241,3,0)),($F138+$G138))*(IF($E138=6,$W138,((MIN((VLOOKUP($E138,$A$232:$E$241,5,0)),$W138)))))))))*$X138</f>
        <v>0</v>
      </c>
      <c r="AA138" s="139">
        <f t="shared" si="22"/>
        <v>0</v>
      </c>
      <c r="AB138" s="126"/>
      <c r="AC138" s="295"/>
      <c r="AD138" s="295"/>
      <c r="AF138" s="359">
        <f t="shared" si="29"/>
        <v>0</v>
      </c>
    </row>
    <row r="139" spans="1:32" s="22" customFormat="1" ht="24.75" customHeight="1" outlineLevel="1" x14ac:dyDescent="0.2">
      <c r="A139" s="177">
        <v>136</v>
      </c>
      <c r="B139" s="325"/>
      <c r="C139" s="325"/>
      <c r="D139" s="325"/>
      <c r="E139" s="326"/>
      <c r="F139" s="327"/>
      <c r="G139" s="328"/>
      <c r="H139" s="329"/>
      <c r="I139" s="329"/>
      <c r="J139" s="330"/>
      <c r="K139" s="331">
        <f>(IF(OR($B139=0,$C139=0,$D139=0),0,IF(OR($E139=0,($G139+$F139=0),$H139=0),0,MIN((VLOOKUP($E139,$A$232:$C$241,3,0))*(IF($E139=6,$I139,$H139))*((MIN((VLOOKUP($E139,$A$232:$E$241,5,0)),(IF($E139=6,$H139,$I139))))),MIN((VLOOKUP($E139,$A$232:$C$241,3,0)),($F139+$G139))*(IF($E139=6,$I139,((MIN((VLOOKUP($E139,$A$232:$E$241,5,0)),$I139)))))))))*$J139</f>
        <v>0</v>
      </c>
      <c r="L139" s="332">
        <f t="shared" si="23"/>
        <v>0</v>
      </c>
      <c r="M139" s="333">
        <f t="shared" si="24"/>
        <v>0</v>
      </c>
      <c r="N139" s="277" t="str">
        <f>IF(E139&gt;0,MIN((VLOOKUP($E139,$A$232:$C$241,3,0)),($F139+$G139)),"")</f>
        <v/>
      </c>
      <c r="O139" s="273">
        <f>IF(E139=6,(MIN(VLOOKUP($E139,$A$232:$E$241,5,0),H139)),H139)</f>
        <v>0</v>
      </c>
      <c r="P139" s="272">
        <f>IF(E139=6,I139,IF(E139&gt;0,MIN((VLOOKUP($E139,$A$232:$E$241,5,0)),(I139)),0))*(1-$T$2)</f>
        <v>0</v>
      </c>
      <c r="Q139" s="62">
        <f t="shared" si="25"/>
        <v>0</v>
      </c>
      <c r="R139" s="274" t="str">
        <f t="shared" si="26"/>
        <v/>
      </c>
      <c r="S139" s="269">
        <f>(IF(OR($B139=0,$C139=0,$D139=0),0,IF(OR($E139=0,($G139+$F139=0),$H139=0),0,MIN((VLOOKUP($E139,$A$232:$C$241,3,0))*(IF($E139=6,$P139,$O139))*((MIN((VLOOKUP($E139,$A$232:$E$241,5,0)),(IF($E139=6,$O139,$P139))))),MIN((VLOOKUP($E139,$A$232:$C$241,3,0)),($F139+$G139))*(IF($E139=6,$P139,((MIN((VLOOKUP($E139,$A$232:$E$241,5,0)),$P139)))))))))*$Q139</f>
        <v>0</v>
      </c>
      <c r="T139" s="101">
        <f t="shared" si="27"/>
        <v>0</v>
      </c>
      <c r="U139" s="122"/>
      <c r="V139" s="300"/>
      <c r="W139" s="131">
        <f t="shared" si="20"/>
        <v>0</v>
      </c>
      <c r="X139" s="62">
        <f t="shared" si="28"/>
        <v>0</v>
      </c>
      <c r="Y139" s="63" t="str">
        <f t="shared" si="21"/>
        <v/>
      </c>
      <c r="Z139" s="133">
        <f>(IF(OR($B139=0,$C139=0,$D139=0),0,IF(OR($E139=0,($G139+$F139=0),$H139=0),0,MIN((VLOOKUP($E139,$A$232:$C$241,3,0))*(IF($E139=6,$W139,$O139))*((MIN((VLOOKUP($E139,$A$232:$E$241,5,0)),(IF($E139=6,$O139,$W139))))),MIN((VLOOKUP($E139,$A$232:$C$241,3,0)),($F139+$G139))*(IF($E139=6,$W139,((MIN((VLOOKUP($E139,$A$232:$E$241,5,0)),$W139)))))))))*$X139</f>
        <v>0</v>
      </c>
      <c r="AA139" s="139">
        <f t="shared" si="22"/>
        <v>0</v>
      </c>
      <c r="AB139" s="126"/>
      <c r="AC139" s="295"/>
      <c r="AD139" s="295"/>
      <c r="AF139" s="359">
        <f t="shared" si="29"/>
        <v>0</v>
      </c>
    </row>
    <row r="140" spans="1:32" s="22" customFormat="1" ht="24.75" customHeight="1" outlineLevel="1" x14ac:dyDescent="0.2">
      <c r="A140" s="177">
        <v>137</v>
      </c>
      <c r="B140" s="325"/>
      <c r="C140" s="325"/>
      <c r="D140" s="325"/>
      <c r="E140" s="326"/>
      <c r="F140" s="327"/>
      <c r="G140" s="328"/>
      <c r="H140" s="329"/>
      <c r="I140" s="329"/>
      <c r="J140" s="330"/>
      <c r="K140" s="331">
        <f>(IF(OR($B140=0,$C140=0,$D140=0),0,IF(OR($E140=0,($G140+$F140=0),$H140=0),0,MIN((VLOOKUP($E140,$A$232:$C$241,3,0))*(IF($E140=6,$I140,$H140))*((MIN((VLOOKUP($E140,$A$232:$E$241,5,0)),(IF($E140=6,$H140,$I140))))),MIN((VLOOKUP($E140,$A$232:$C$241,3,0)),($F140+$G140))*(IF($E140=6,$I140,((MIN((VLOOKUP($E140,$A$232:$E$241,5,0)),$I140)))))))))*$J140</f>
        <v>0</v>
      </c>
      <c r="L140" s="332">
        <f t="shared" si="23"/>
        <v>0</v>
      </c>
      <c r="M140" s="333">
        <f t="shared" si="24"/>
        <v>0</v>
      </c>
      <c r="N140" s="277" t="str">
        <f>IF(E140&gt;0,MIN((VLOOKUP($E140,$A$232:$C$241,3,0)),($F140+$G140)),"")</f>
        <v/>
      </c>
      <c r="O140" s="273">
        <f>IF(E140=6,(MIN(VLOOKUP($E140,$A$232:$E$241,5,0),H140)),H140)</f>
        <v>0</v>
      </c>
      <c r="P140" s="272">
        <f>IF(E140=6,I140,IF(E140&gt;0,MIN((VLOOKUP($E140,$A$232:$E$241,5,0)),(I140)),0))*(1-$T$2)</f>
        <v>0</v>
      </c>
      <c r="Q140" s="62">
        <f t="shared" si="25"/>
        <v>0</v>
      </c>
      <c r="R140" s="274" t="str">
        <f t="shared" si="26"/>
        <v/>
      </c>
      <c r="S140" s="269">
        <f>(IF(OR($B140=0,$C140=0,$D140=0),0,IF(OR($E140=0,($G140+$F140=0),$H140=0),0,MIN((VLOOKUP($E140,$A$232:$C$241,3,0))*(IF($E140=6,$P140,$O140))*((MIN((VLOOKUP($E140,$A$232:$E$241,5,0)),(IF($E140=6,$O140,$P140))))),MIN((VLOOKUP($E140,$A$232:$C$241,3,0)),($F140+$G140))*(IF($E140=6,$P140,((MIN((VLOOKUP($E140,$A$232:$E$241,5,0)),$P140)))))))))*$Q140</f>
        <v>0</v>
      </c>
      <c r="T140" s="101">
        <f t="shared" si="27"/>
        <v>0</v>
      </c>
      <c r="U140" s="122"/>
      <c r="V140" s="300"/>
      <c r="W140" s="131">
        <f t="shared" si="20"/>
        <v>0</v>
      </c>
      <c r="X140" s="62">
        <f t="shared" si="28"/>
        <v>0</v>
      </c>
      <c r="Y140" s="63" t="str">
        <f t="shared" si="21"/>
        <v/>
      </c>
      <c r="Z140" s="133">
        <f>(IF(OR($B140=0,$C140=0,$D140=0),0,IF(OR($E140=0,($G140+$F140=0),$H140=0),0,MIN((VLOOKUP($E140,$A$232:$C$241,3,0))*(IF($E140=6,$W140,$O140))*((MIN((VLOOKUP($E140,$A$232:$E$241,5,0)),(IF($E140=6,$O140,$W140))))),MIN((VLOOKUP($E140,$A$232:$C$241,3,0)),($F140+$G140))*(IF($E140=6,$W140,((MIN((VLOOKUP($E140,$A$232:$E$241,5,0)),$W140)))))))))*$X140</f>
        <v>0</v>
      </c>
      <c r="AA140" s="139">
        <f t="shared" si="22"/>
        <v>0</v>
      </c>
      <c r="AB140" s="126"/>
      <c r="AC140" s="295"/>
      <c r="AD140" s="295"/>
      <c r="AF140" s="359">
        <f t="shared" si="29"/>
        <v>0</v>
      </c>
    </row>
    <row r="141" spans="1:32" s="22" customFormat="1" ht="24.75" customHeight="1" outlineLevel="1" x14ac:dyDescent="0.2">
      <c r="A141" s="177">
        <v>138</v>
      </c>
      <c r="B141" s="325"/>
      <c r="C141" s="325"/>
      <c r="D141" s="325"/>
      <c r="E141" s="326"/>
      <c r="F141" s="327"/>
      <c r="G141" s="328"/>
      <c r="H141" s="329"/>
      <c r="I141" s="329"/>
      <c r="J141" s="330"/>
      <c r="K141" s="331">
        <f>(IF(OR($B141=0,$C141=0,$D141=0),0,IF(OR($E141=0,($G141+$F141=0),$H141=0),0,MIN((VLOOKUP($E141,$A$232:$C$241,3,0))*(IF($E141=6,$I141,$H141))*((MIN((VLOOKUP($E141,$A$232:$E$241,5,0)),(IF($E141=6,$H141,$I141))))),MIN((VLOOKUP($E141,$A$232:$C$241,3,0)),($F141+$G141))*(IF($E141=6,$I141,((MIN((VLOOKUP($E141,$A$232:$E$241,5,0)),$I141)))))))))*$J141</f>
        <v>0</v>
      </c>
      <c r="L141" s="332">
        <f t="shared" si="23"/>
        <v>0</v>
      </c>
      <c r="M141" s="333">
        <f t="shared" si="24"/>
        <v>0</v>
      </c>
      <c r="N141" s="277" t="str">
        <f>IF(E141&gt;0,MIN((VLOOKUP($E141,$A$232:$C$241,3,0)),($F141+$G141)),"")</f>
        <v/>
      </c>
      <c r="O141" s="273">
        <f>IF(E141=6,(MIN(VLOOKUP($E141,$A$232:$E$241,5,0),H141)),H141)</f>
        <v>0</v>
      </c>
      <c r="P141" s="272">
        <f>IF(E141=6,I141,IF(E141&gt;0,MIN((VLOOKUP($E141,$A$232:$E$241,5,0)),(I141)),0))*(1-$T$2)</f>
        <v>0</v>
      </c>
      <c r="Q141" s="62">
        <f t="shared" si="25"/>
        <v>0</v>
      </c>
      <c r="R141" s="274" t="str">
        <f t="shared" si="26"/>
        <v/>
      </c>
      <c r="S141" s="269">
        <f>(IF(OR($B141=0,$C141=0,$D141=0),0,IF(OR($E141=0,($G141+$F141=0),$H141=0),0,MIN((VLOOKUP($E141,$A$232:$C$241,3,0))*(IF($E141=6,$P141,$O141))*((MIN((VLOOKUP($E141,$A$232:$E$241,5,0)),(IF($E141=6,$O141,$P141))))),MIN((VLOOKUP($E141,$A$232:$C$241,3,0)),($F141+$G141))*(IF($E141=6,$P141,((MIN((VLOOKUP($E141,$A$232:$E$241,5,0)),$P141)))))))))*$Q141</f>
        <v>0</v>
      </c>
      <c r="T141" s="101">
        <f t="shared" si="27"/>
        <v>0</v>
      </c>
      <c r="U141" s="122"/>
      <c r="V141" s="300"/>
      <c r="W141" s="131">
        <f t="shared" si="20"/>
        <v>0</v>
      </c>
      <c r="X141" s="62">
        <f t="shared" si="28"/>
        <v>0</v>
      </c>
      <c r="Y141" s="63" t="str">
        <f t="shared" si="21"/>
        <v/>
      </c>
      <c r="Z141" s="133">
        <f>(IF(OR($B141=0,$C141=0,$D141=0),0,IF(OR($E141=0,($G141+$F141=0),$H141=0),0,MIN((VLOOKUP($E141,$A$232:$C$241,3,0))*(IF($E141=6,$W141,$O141))*((MIN((VLOOKUP($E141,$A$232:$E$241,5,0)),(IF($E141=6,$O141,$W141))))),MIN((VLOOKUP($E141,$A$232:$C$241,3,0)),($F141+$G141))*(IF($E141=6,$W141,((MIN((VLOOKUP($E141,$A$232:$E$241,5,0)),$W141)))))))))*$X141</f>
        <v>0</v>
      </c>
      <c r="AA141" s="139">
        <f t="shared" si="22"/>
        <v>0</v>
      </c>
      <c r="AB141" s="126"/>
      <c r="AC141" s="295"/>
      <c r="AD141" s="295"/>
      <c r="AF141" s="359">
        <f t="shared" si="29"/>
        <v>0</v>
      </c>
    </row>
    <row r="142" spans="1:32" s="22" customFormat="1" ht="24.75" customHeight="1" outlineLevel="1" x14ac:dyDescent="0.2">
      <c r="A142" s="177">
        <v>139</v>
      </c>
      <c r="B142" s="325"/>
      <c r="C142" s="325"/>
      <c r="D142" s="325"/>
      <c r="E142" s="326"/>
      <c r="F142" s="327"/>
      <c r="G142" s="328"/>
      <c r="H142" s="329"/>
      <c r="I142" s="329"/>
      <c r="J142" s="330"/>
      <c r="K142" s="331">
        <f>(IF(OR($B142=0,$C142=0,$D142=0),0,IF(OR($E142=0,($G142+$F142=0),$H142=0),0,MIN((VLOOKUP($E142,$A$232:$C$241,3,0))*(IF($E142=6,$I142,$H142))*((MIN((VLOOKUP($E142,$A$232:$E$241,5,0)),(IF($E142=6,$H142,$I142))))),MIN((VLOOKUP($E142,$A$232:$C$241,3,0)),($F142+$G142))*(IF($E142=6,$I142,((MIN((VLOOKUP($E142,$A$232:$E$241,5,0)),$I142)))))))))*$J142</f>
        <v>0</v>
      </c>
      <c r="L142" s="332">
        <f t="shared" si="23"/>
        <v>0</v>
      </c>
      <c r="M142" s="333">
        <f t="shared" si="24"/>
        <v>0</v>
      </c>
      <c r="N142" s="277" t="str">
        <f>IF(E142&gt;0,MIN((VLOOKUP($E142,$A$232:$C$241,3,0)),($F142+$G142)),"")</f>
        <v/>
      </c>
      <c r="O142" s="273">
        <f>IF(E142=6,(MIN(VLOOKUP($E142,$A$232:$E$241,5,0),H142)),H142)</f>
        <v>0</v>
      </c>
      <c r="P142" s="272">
        <f>IF(E142=6,I142,IF(E142&gt;0,MIN((VLOOKUP($E142,$A$232:$E$241,5,0)),(I142)),0))*(1-$T$2)</f>
        <v>0</v>
      </c>
      <c r="Q142" s="62">
        <f t="shared" si="25"/>
        <v>0</v>
      </c>
      <c r="R142" s="274" t="str">
        <f t="shared" si="26"/>
        <v/>
      </c>
      <c r="S142" s="269">
        <f>(IF(OR($B142=0,$C142=0,$D142=0),0,IF(OR($E142=0,($G142+$F142=0),$H142=0),0,MIN((VLOOKUP($E142,$A$232:$C$241,3,0))*(IF($E142=6,$P142,$O142))*((MIN((VLOOKUP($E142,$A$232:$E$241,5,0)),(IF($E142=6,$O142,$P142))))),MIN((VLOOKUP($E142,$A$232:$C$241,3,0)),($F142+$G142))*(IF($E142=6,$P142,((MIN((VLOOKUP($E142,$A$232:$E$241,5,0)),$P142)))))))))*$Q142</f>
        <v>0</v>
      </c>
      <c r="T142" s="101">
        <f t="shared" si="27"/>
        <v>0</v>
      </c>
      <c r="U142" s="122"/>
      <c r="V142" s="300"/>
      <c r="W142" s="131">
        <f t="shared" si="20"/>
        <v>0</v>
      </c>
      <c r="X142" s="62">
        <f t="shared" si="28"/>
        <v>0</v>
      </c>
      <c r="Y142" s="63" t="str">
        <f t="shared" si="21"/>
        <v/>
      </c>
      <c r="Z142" s="133">
        <f>(IF(OR($B142=0,$C142=0,$D142=0),0,IF(OR($E142=0,($G142+$F142=0),$H142=0),0,MIN((VLOOKUP($E142,$A$232:$C$241,3,0))*(IF($E142=6,$W142,$O142))*((MIN((VLOOKUP($E142,$A$232:$E$241,5,0)),(IF($E142=6,$O142,$W142))))),MIN((VLOOKUP($E142,$A$232:$C$241,3,0)),($F142+$G142))*(IF($E142=6,$W142,((MIN((VLOOKUP($E142,$A$232:$E$241,5,0)),$W142)))))))))*$X142</f>
        <v>0</v>
      </c>
      <c r="AA142" s="139">
        <f t="shared" si="22"/>
        <v>0</v>
      </c>
      <c r="AB142" s="126"/>
      <c r="AC142" s="295"/>
      <c r="AD142" s="295"/>
      <c r="AF142" s="359">
        <f t="shared" si="29"/>
        <v>0</v>
      </c>
    </row>
    <row r="143" spans="1:32" s="22" customFormat="1" ht="24.75" customHeight="1" outlineLevel="1" x14ac:dyDescent="0.2">
      <c r="A143" s="177">
        <v>140</v>
      </c>
      <c r="B143" s="325"/>
      <c r="C143" s="325"/>
      <c r="D143" s="325"/>
      <c r="E143" s="326"/>
      <c r="F143" s="327"/>
      <c r="G143" s="328"/>
      <c r="H143" s="329"/>
      <c r="I143" s="329"/>
      <c r="J143" s="330"/>
      <c r="K143" s="331">
        <f>(IF(OR($B143=0,$C143=0,$D143=0),0,IF(OR($E143=0,($G143+$F143=0),$H143=0),0,MIN((VLOOKUP($E143,$A$232:$C$241,3,0))*(IF($E143=6,$I143,$H143))*((MIN((VLOOKUP($E143,$A$232:$E$241,5,0)),(IF($E143=6,$H143,$I143))))),MIN((VLOOKUP($E143,$A$232:$C$241,3,0)),($F143+$G143))*(IF($E143=6,$I143,((MIN((VLOOKUP($E143,$A$232:$E$241,5,0)),$I143)))))))))*$J143</f>
        <v>0</v>
      </c>
      <c r="L143" s="332">
        <f t="shared" si="23"/>
        <v>0</v>
      </c>
      <c r="M143" s="333">
        <f t="shared" si="24"/>
        <v>0</v>
      </c>
      <c r="N143" s="277" t="str">
        <f>IF(E143&gt;0,MIN((VLOOKUP($E143,$A$232:$C$241,3,0)),($F143+$G143)),"")</f>
        <v/>
      </c>
      <c r="O143" s="273">
        <f>IF(E143=6,(MIN(VLOOKUP($E143,$A$232:$E$241,5,0),H143)),H143)</f>
        <v>0</v>
      </c>
      <c r="P143" s="272">
        <f>IF(E143=6,I143,IF(E143&gt;0,MIN((VLOOKUP($E143,$A$232:$E$241,5,0)),(I143)),0))*(1-$T$2)</f>
        <v>0</v>
      </c>
      <c r="Q143" s="62">
        <f t="shared" si="25"/>
        <v>0</v>
      </c>
      <c r="R143" s="274" t="str">
        <f t="shared" si="26"/>
        <v/>
      </c>
      <c r="S143" s="269">
        <f>(IF(OR($B143=0,$C143=0,$D143=0),0,IF(OR($E143=0,($G143+$F143=0),$H143=0),0,MIN((VLOOKUP($E143,$A$232:$C$241,3,0))*(IF($E143=6,$P143,$O143))*((MIN((VLOOKUP($E143,$A$232:$E$241,5,0)),(IF($E143=6,$O143,$P143))))),MIN((VLOOKUP($E143,$A$232:$C$241,3,0)),($F143+$G143))*(IF($E143=6,$P143,((MIN((VLOOKUP($E143,$A$232:$E$241,5,0)),$P143)))))))))*$Q143</f>
        <v>0</v>
      </c>
      <c r="T143" s="101">
        <f t="shared" si="27"/>
        <v>0</v>
      </c>
      <c r="U143" s="122"/>
      <c r="V143" s="300"/>
      <c r="W143" s="131">
        <f t="shared" si="20"/>
        <v>0</v>
      </c>
      <c r="X143" s="62">
        <f t="shared" si="28"/>
        <v>0</v>
      </c>
      <c r="Y143" s="63" t="str">
        <f t="shared" si="21"/>
        <v/>
      </c>
      <c r="Z143" s="133">
        <f>(IF(OR($B143=0,$C143=0,$D143=0),0,IF(OR($E143=0,($G143+$F143=0),$H143=0),0,MIN((VLOOKUP($E143,$A$232:$C$241,3,0))*(IF($E143=6,$W143,$O143))*((MIN((VLOOKUP($E143,$A$232:$E$241,5,0)),(IF($E143=6,$O143,$W143))))),MIN((VLOOKUP($E143,$A$232:$C$241,3,0)),($F143+$G143))*(IF($E143=6,$W143,((MIN((VLOOKUP($E143,$A$232:$E$241,5,0)),$W143)))))))))*$X143</f>
        <v>0</v>
      </c>
      <c r="AA143" s="139">
        <f t="shared" si="22"/>
        <v>0</v>
      </c>
      <c r="AB143" s="126"/>
      <c r="AC143" s="295"/>
      <c r="AD143" s="295"/>
      <c r="AF143" s="359">
        <f t="shared" si="29"/>
        <v>0</v>
      </c>
    </row>
    <row r="144" spans="1:32" s="22" customFormat="1" ht="24.75" customHeight="1" outlineLevel="1" x14ac:dyDescent="0.2">
      <c r="A144" s="177">
        <v>141</v>
      </c>
      <c r="B144" s="325"/>
      <c r="C144" s="334"/>
      <c r="D144" s="334"/>
      <c r="E144" s="326"/>
      <c r="F144" s="327"/>
      <c r="G144" s="328"/>
      <c r="H144" s="329"/>
      <c r="I144" s="329"/>
      <c r="J144" s="330"/>
      <c r="K144" s="331">
        <f>(IF(OR($B144=0,$C144=0,$D144=0),0,IF(OR($E144=0,($G144+$F144=0),$H144=0),0,MIN((VLOOKUP($E144,$A$232:$C$241,3,0))*(IF($E144=6,$I144,$H144))*((MIN((VLOOKUP($E144,$A$232:$E$241,5,0)),(IF($E144=6,$H144,$I144))))),MIN((VLOOKUP($E144,$A$232:$C$241,3,0)),($F144+$G144))*(IF($E144=6,$I144,((MIN((VLOOKUP($E144,$A$232:$E$241,5,0)),$I144)))))))))*$J144</f>
        <v>0</v>
      </c>
      <c r="L144" s="332">
        <f t="shared" si="23"/>
        <v>0</v>
      </c>
      <c r="M144" s="333">
        <f t="shared" si="24"/>
        <v>0</v>
      </c>
      <c r="N144" s="277" t="str">
        <f>IF(E144&gt;0,MIN((VLOOKUP($E144,$A$232:$C$241,3,0)),($F144+$G144)),"")</f>
        <v/>
      </c>
      <c r="O144" s="273">
        <f>IF(E144=6,(MIN(VLOOKUP($E144,$A$232:$E$241,5,0),H144)),H144)</f>
        <v>0</v>
      </c>
      <c r="P144" s="272">
        <f>IF(E144=6,I144,IF(E144&gt;0,MIN((VLOOKUP($E144,$A$232:$E$241,5,0)),(I144)),0))*(1-$T$2)</f>
        <v>0</v>
      </c>
      <c r="Q144" s="62">
        <f t="shared" si="25"/>
        <v>0</v>
      </c>
      <c r="R144" s="274" t="str">
        <f t="shared" si="26"/>
        <v/>
      </c>
      <c r="S144" s="269">
        <f>(IF(OR($B144=0,$C144=0,$D144=0),0,IF(OR($E144=0,($G144+$F144=0),$H144=0),0,MIN((VLOOKUP($E144,$A$232:$C$241,3,0))*(IF($E144=6,$P144,$O144))*((MIN((VLOOKUP($E144,$A$232:$E$241,5,0)),(IF($E144=6,$O144,$P144))))),MIN((VLOOKUP($E144,$A$232:$C$241,3,0)),($F144+$G144))*(IF($E144=6,$P144,((MIN((VLOOKUP($E144,$A$232:$E$241,5,0)),$P144)))))))))*$Q144</f>
        <v>0</v>
      </c>
      <c r="T144" s="101">
        <f t="shared" si="27"/>
        <v>0</v>
      </c>
      <c r="U144" s="122"/>
      <c r="V144" s="300"/>
      <c r="W144" s="131">
        <f t="shared" si="20"/>
        <v>0</v>
      </c>
      <c r="X144" s="62">
        <f t="shared" si="28"/>
        <v>0</v>
      </c>
      <c r="Y144" s="63" t="str">
        <f t="shared" si="21"/>
        <v/>
      </c>
      <c r="Z144" s="133">
        <f>(IF(OR($B144=0,$C144=0,$D144=0),0,IF(OR($E144=0,($G144+$F144=0),$H144=0),0,MIN((VLOOKUP($E144,$A$232:$C$241,3,0))*(IF($E144=6,$W144,$O144))*((MIN((VLOOKUP($E144,$A$232:$E$241,5,0)),(IF($E144=6,$O144,$W144))))),MIN((VLOOKUP($E144,$A$232:$C$241,3,0)),($F144+$G144))*(IF($E144=6,$W144,((MIN((VLOOKUP($E144,$A$232:$E$241,5,0)),$W144)))))))))*$X144</f>
        <v>0</v>
      </c>
      <c r="AA144" s="139">
        <f t="shared" si="22"/>
        <v>0</v>
      </c>
      <c r="AB144" s="126"/>
      <c r="AC144" s="295"/>
      <c r="AD144" s="295"/>
      <c r="AF144" s="359">
        <f t="shared" si="29"/>
        <v>0</v>
      </c>
    </row>
    <row r="145" spans="1:32" s="22" customFormat="1" ht="24.75" customHeight="1" outlineLevel="1" x14ac:dyDescent="0.2">
      <c r="A145" s="177">
        <v>142</v>
      </c>
      <c r="B145" s="325"/>
      <c r="C145" s="334"/>
      <c r="D145" s="334"/>
      <c r="E145" s="326"/>
      <c r="F145" s="327"/>
      <c r="G145" s="328"/>
      <c r="H145" s="329"/>
      <c r="I145" s="329"/>
      <c r="J145" s="330"/>
      <c r="K145" s="331">
        <f>(IF(OR($B145=0,$C145=0,$D145=0),0,IF(OR($E145=0,($G145+$F145=0),$H145=0),0,MIN((VLOOKUP($E145,$A$232:$C$241,3,0))*(IF($E145=6,$I145,$H145))*((MIN((VLOOKUP($E145,$A$232:$E$241,5,0)),(IF($E145=6,$H145,$I145))))),MIN((VLOOKUP($E145,$A$232:$C$241,3,0)),($F145+$G145))*(IF($E145=6,$I145,((MIN((VLOOKUP($E145,$A$232:$E$241,5,0)),$I145)))))))))*$J145</f>
        <v>0</v>
      </c>
      <c r="L145" s="332">
        <f t="shared" si="23"/>
        <v>0</v>
      </c>
      <c r="M145" s="333">
        <f t="shared" si="24"/>
        <v>0</v>
      </c>
      <c r="N145" s="277" t="str">
        <f>IF(E145&gt;0,MIN((VLOOKUP($E145,$A$232:$C$241,3,0)),($F145+$G145)),"")</f>
        <v/>
      </c>
      <c r="O145" s="273">
        <f>IF(E145=6,(MIN(VLOOKUP($E145,$A$232:$E$241,5,0),H145)),H145)</f>
        <v>0</v>
      </c>
      <c r="P145" s="272">
        <f>IF(E145=6,I145,IF(E145&gt;0,MIN((VLOOKUP($E145,$A$232:$E$241,5,0)),(I145)),0))*(1-$T$2)</f>
        <v>0</v>
      </c>
      <c r="Q145" s="62">
        <f t="shared" si="25"/>
        <v>0</v>
      </c>
      <c r="R145" s="274" t="str">
        <f t="shared" si="26"/>
        <v/>
      </c>
      <c r="S145" s="269">
        <f>(IF(OR($B145=0,$C145=0,$D145=0),0,IF(OR($E145=0,($G145+$F145=0),$H145=0),0,MIN((VLOOKUP($E145,$A$232:$C$241,3,0))*(IF($E145=6,$P145,$O145))*((MIN((VLOOKUP($E145,$A$232:$E$241,5,0)),(IF($E145=6,$O145,$P145))))),MIN((VLOOKUP($E145,$A$232:$C$241,3,0)),($F145+$G145))*(IF($E145=6,$P145,((MIN((VLOOKUP($E145,$A$232:$E$241,5,0)),$P145)))))))))*$Q145</f>
        <v>0</v>
      </c>
      <c r="T145" s="101">
        <f t="shared" si="27"/>
        <v>0</v>
      </c>
      <c r="U145" s="122"/>
      <c r="V145" s="300"/>
      <c r="W145" s="131">
        <f t="shared" si="20"/>
        <v>0</v>
      </c>
      <c r="X145" s="62">
        <f t="shared" si="28"/>
        <v>0</v>
      </c>
      <c r="Y145" s="63" t="str">
        <f t="shared" si="21"/>
        <v/>
      </c>
      <c r="Z145" s="133">
        <f>(IF(OR($B145=0,$C145=0,$D145=0),0,IF(OR($E145=0,($G145+$F145=0),$H145=0),0,MIN((VLOOKUP($E145,$A$232:$C$241,3,0))*(IF($E145=6,$W145,$O145))*((MIN((VLOOKUP($E145,$A$232:$E$241,5,0)),(IF($E145=6,$O145,$W145))))),MIN((VLOOKUP($E145,$A$232:$C$241,3,0)),($F145+$G145))*(IF($E145=6,$W145,((MIN((VLOOKUP($E145,$A$232:$E$241,5,0)),$W145)))))))))*$X145</f>
        <v>0</v>
      </c>
      <c r="AA145" s="139">
        <f t="shared" si="22"/>
        <v>0</v>
      </c>
      <c r="AB145" s="126"/>
      <c r="AC145" s="295"/>
      <c r="AD145" s="295"/>
      <c r="AF145" s="359">
        <f t="shared" si="29"/>
        <v>0</v>
      </c>
    </row>
    <row r="146" spans="1:32" s="22" customFormat="1" ht="24.75" customHeight="1" outlineLevel="1" x14ac:dyDescent="0.2">
      <c r="A146" s="177">
        <v>143</v>
      </c>
      <c r="B146" s="325"/>
      <c r="C146" s="334"/>
      <c r="D146" s="334"/>
      <c r="E146" s="326"/>
      <c r="F146" s="327"/>
      <c r="G146" s="328"/>
      <c r="H146" s="329"/>
      <c r="I146" s="329"/>
      <c r="J146" s="330"/>
      <c r="K146" s="331">
        <f>(IF(OR($B146=0,$C146=0,$D146=0),0,IF(OR($E146=0,($G146+$F146=0),$H146=0),0,MIN((VLOOKUP($E146,$A$232:$C$241,3,0))*(IF($E146=6,$I146,$H146))*((MIN((VLOOKUP($E146,$A$232:$E$241,5,0)),(IF($E146=6,$H146,$I146))))),MIN((VLOOKUP($E146,$A$232:$C$241,3,0)),($F146+$G146))*(IF($E146=6,$I146,((MIN((VLOOKUP($E146,$A$232:$E$241,5,0)),$I146)))))))))*$J146</f>
        <v>0</v>
      </c>
      <c r="L146" s="332">
        <f t="shared" si="23"/>
        <v>0</v>
      </c>
      <c r="M146" s="333">
        <f t="shared" si="24"/>
        <v>0</v>
      </c>
      <c r="N146" s="277" t="str">
        <f>IF(E146&gt;0,MIN((VLOOKUP($E146,$A$232:$C$241,3,0)),($F146+$G146)),"")</f>
        <v/>
      </c>
      <c r="O146" s="273">
        <f>IF(E146=6,(MIN(VLOOKUP($E146,$A$232:$E$241,5,0),H146)),H146)</f>
        <v>0</v>
      </c>
      <c r="P146" s="272">
        <f>IF(E146=6,I146,IF(E146&gt;0,MIN((VLOOKUP($E146,$A$232:$E$241,5,0)),(I146)),0))*(1-$T$2)</f>
        <v>0</v>
      </c>
      <c r="Q146" s="62">
        <f t="shared" si="25"/>
        <v>0</v>
      </c>
      <c r="R146" s="274" t="str">
        <f t="shared" si="26"/>
        <v/>
      </c>
      <c r="S146" s="269">
        <f>(IF(OR($B146=0,$C146=0,$D146=0),0,IF(OR($E146=0,($G146+$F146=0),$H146=0),0,MIN((VLOOKUP($E146,$A$232:$C$241,3,0))*(IF($E146=6,$P146,$O146))*((MIN((VLOOKUP($E146,$A$232:$E$241,5,0)),(IF($E146=6,$O146,$P146))))),MIN((VLOOKUP($E146,$A$232:$C$241,3,0)),($F146+$G146))*(IF($E146=6,$P146,((MIN((VLOOKUP($E146,$A$232:$E$241,5,0)),$P146)))))))))*$Q146</f>
        <v>0</v>
      </c>
      <c r="T146" s="101">
        <f t="shared" si="27"/>
        <v>0</v>
      </c>
      <c r="U146" s="122"/>
      <c r="V146" s="300"/>
      <c r="W146" s="131">
        <f t="shared" si="20"/>
        <v>0</v>
      </c>
      <c r="X146" s="62">
        <f t="shared" si="28"/>
        <v>0</v>
      </c>
      <c r="Y146" s="63" t="str">
        <f t="shared" si="21"/>
        <v/>
      </c>
      <c r="Z146" s="133">
        <f>(IF(OR($B146=0,$C146=0,$D146=0),0,IF(OR($E146=0,($G146+$F146=0),$H146=0),0,MIN((VLOOKUP($E146,$A$232:$C$241,3,0))*(IF($E146=6,$W146,$O146))*((MIN((VLOOKUP($E146,$A$232:$E$241,5,0)),(IF($E146=6,$O146,$W146))))),MIN((VLOOKUP($E146,$A$232:$C$241,3,0)),($F146+$G146))*(IF($E146=6,$W146,((MIN((VLOOKUP($E146,$A$232:$E$241,5,0)),$W146)))))))))*$X146</f>
        <v>0</v>
      </c>
      <c r="AA146" s="139">
        <f t="shared" si="22"/>
        <v>0</v>
      </c>
      <c r="AB146" s="126"/>
      <c r="AC146" s="295"/>
      <c r="AD146" s="295"/>
      <c r="AF146" s="359">
        <f t="shared" si="29"/>
        <v>0</v>
      </c>
    </row>
    <row r="147" spans="1:32" s="22" customFormat="1" ht="24.75" customHeight="1" outlineLevel="1" x14ac:dyDescent="0.2">
      <c r="A147" s="177">
        <v>144</v>
      </c>
      <c r="B147" s="325"/>
      <c r="C147" s="334"/>
      <c r="D147" s="334"/>
      <c r="E147" s="326"/>
      <c r="F147" s="327"/>
      <c r="G147" s="328"/>
      <c r="H147" s="329"/>
      <c r="I147" s="329"/>
      <c r="J147" s="330"/>
      <c r="K147" s="331">
        <f>(IF(OR($B147=0,$C147=0,$D147=0),0,IF(OR($E147=0,($G147+$F147=0),$H147=0),0,MIN((VLOOKUP($E147,$A$232:$C$241,3,0))*(IF($E147=6,$I147,$H147))*((MIN((VLOOKUP($E147,$A$232:$E$241,5,0)),(IF($E147=6,$H147,$I147))))),MIN((VLOOKUP($E147,$A$232:$C$241,3,0)),($F147+$G147))*(IF($E147=6,$I147,((MIN((VLOOKUP($E147,$A$232:$E$241,5,0)),$I147)))))))))*$J147</f>
        <v>0</v>
      </c>
      <c r="L147" s="332">
        <f t="shared" si="23"/>
        <v>0</v>
      </c>
      <c r="M147" s="333">
        <f t="shared" si="24"/>
        <v>0</v>
      </c>
      <c r="N147" s="277" t="str">
        <f>IF(E147&gt;0,MIN((VLOOKUP($E147,$A$232:$C$241,3,0)),($F147+$G147)),"")</f>
        <v/>
      </c>
      <c r="O147" s="273">
        <f>IF(E147=6,(MIN(VLOOKUP($E147,$A$232:$E$241,5,0),H147)),H147)</f>
        <v>0</v>
      </c>
      <c r="P147" s="272">
        <f>IF(E147=6,I147,IF(E147&gt;0,MIN((VLOOKUP($E147,$A$232:$E$241,5,0)),(I147)),0))*(1-$T$2)</f>
        <v>0</v>
      </c>
      <c r="Q147" s="62">
        <f t="shared" si="25"/>
        <v>0</v>
      </c>
      <c r="R147" s="274" t="str">
        <f t="shared" si="26"/>
        <v/>
      </c>
      <c r="S147" s="269">
        <f>(IF(OR($B147=0,$C147=0,$D147=0),0,IF(OR($E147=0,($G147+$F147=0),$H147=0),0,MIN((VLOOKUP($E147,$A$232:$C$241,3,0))*(IF($E147=6,$P147,$O147))*((MIN((VLOOKUP($E147,$A$232:$E$241,5,0)),(IF($E147=6,$O147,$P147))))),MIN((VLOOKUP($E147,$A$232:$C$241,3,0)),($F147+$G147))*(IF($E147=6,$P147,((MIN((VLOOKUP($E147,$A$232:$E$241,5,0)),$P147)))))))))*$Q147</f>
        <v>0</v>
      </c>
      <c r="T147" s="101">
        <f t="shared" si="27"/>
        <v>0</v>
      </c>
      <c r="U147" s="122"/>
      <c r="V147" s="300"/>
      <c r="W147" s="131">
        <f t="shared" si="20"/>
        <v>0</v>
      </c>
      <c r="X147" s="62">
        <f t="shared" si="28"/>
        <v>0</v>
      </c>
      <c r="Y147" s="63" t="str">
        <f t="shared" si="21"/>
        <v/>
      </c>
      <c r="Z147" s="133">
        <f>(IF(OR($B147=0,$C147=0,$D147=0),0,IF(OR($E147=0,($G147+$F147=0),$H147=0),0,MIN((VLOOKUP($E147,$A$232:$C$241,3,0))*(IF($E147=6,$W147,$O147))*((MIN((VLOOKUP($E147,$A$232:$E$241,5,0)),(IF($E147=6,$O147,$W147))))),MIN((VLOOKUP($E147,$A$232:$C$241,3,0)),($F147+$G147))*(IF($E147=6,$W147,((MIN((VLOOKUP($E147,$A$232:$E$241,5,0)),$W147)))))))))*$X147</f>
        <v>0</v>
      </c>
      <c r="AA147" s="139">
        <f t="shared" si="22"/>
        <v>0</v>
      </c>
      <c r="AB147" s="126"/>
      <c r="AC147" s="295"/>
      <c r="AD147" s="295"/>
      <c r="AF147" s="359">
        <f t="shared" si="29"/>
        <v>0</v>
      </c>
    </row>
    <row r="148" spans="1:32" s="22" customFormat="1" ht="24.75" customHeight="1" outlineLevel="1" x14ac:dyDescent="0.2">
      <c r="A148" s="177">
        <v>145</v>
      </c>
      <c r="B148" s="325"/>
      <c r="C148" s="334"/>
      <c r="D148" s="334"/>
      <c r="E148" s="326"/>
      <c r="F148" s="327"/>
      <c r="G148" s="328"/>
      <c r="H148" s="329"/>
      <c r="I148" s="329"/>
      <c r="J148" s="330"/>
      <c r="K148" s="331">
        <f>(IF(OR($B148=0,$C148=0,$D148=0),0,IF(OR($E148=0,($G148+$F148=0),$H148=0),0,MIN((VLOOKUP($E148,$A$232:$C$241,3,0))*(IF($E148=6,$I148,$H148))*((MIN((VLOOKUP($E148,$A$232:$E$241,5,0)),(IF($E148=6,$H148,$I148))))),MIN((VLOOKUP($E148,$A$232:$C$241,3,0)),($F148+$G148))*(IF($E148=6,$I148,((MIN((VLOOKUP($E148,$A$232:$E$241,5,0)),$I148)))))))))*$J148</f>
        <v>0</v>
      </c>
      <c r="L148" s="332">
        <f t="shared" si="23"/>
        <v>0</v>
      </c>
      <c r="M148" s="333">
        <f t="shared" si="24"/>
        <v>0</v>
      </c>
      <c r="N148" s="277" t="str">
        <f>IF(E148&gt;0,MIN((VLOOKUP($E148,$A$232:$C$241,3,0)),($F148+$G148)),"")</f>
        <v/>
      </c>
      <c r="O148" s="273">
        <f>IF(E148=6,(MIN(VLOOKUP($E148,$A$232:$E$241,5,0),H148)),H148)</f>
        <v>0</v>
      </c>
      <c r="P148" s="272">
        <f>IF(E148=6,I148,IF(E148&gt;0,MIN((VLOOKUP($E148,$A$232:$E$241,5,0)),(I148)),0))*(1-$T$2)</f>
        <v>0</v>
      </c>
      <c r="Q148" s="62">
        <f t="shared" si="25"/>
        <v>0</v>
      </c>
      <c r="R148" s="274" t="str">
        <f t="shared" si="26"/>
        <v/>
      </c>
      <c r="S148" s="269">
        <f>(IF(OR($B148=0,$C148=0,$D148=0),0,IF(OR($E148=0,($G148+$F148=0),$H148=0),0,MIN((VLOOKUP($E148,$A$232:$C$241,3,0))*(IF($E148=6,$P148,$O148))*((MIN((VLOOKUP($E148,$A$232:$E$241,5,0)),(IF($E148=6,$O148,$P148))))),MIN((VLOOKUP($E148,$A$232:$C$241,3,0)),($F148+$G148))*(IF($E148=6,$P148,((MIN((VLOOKUP($E148,$A$232:$E$241,5,0)),$P148)))))))))*$Q148</f>
        <v>0</v>
      </c>
      <c r="T148" s="101">
        <f t="shared" si="27"/>
        <v>0</v>
      </c>
      <c r="U148" s="122"/>
      <c r="V148" s="300"/>
      <c r="W148" s="131">
        <f t="shared" ref="W148:W211" si="30">IF($AA$2&gt;0,(1-$AA$2)*P148,P148)</f>
        <v>0</v>
      </c>
      <c r="X148" s="62">
        <f t="shared" si="28"/>
        <v>0</v>
      </c>
      <c r="Y148" s="63" t="str">
        <f t="shared" si="21"/>
        <v/>
      </c>
      <c r="Z148" s="133">
        <f>(IF(OR($B148=0,$C148=0,$D148=0),0,IF(OR($E148=0,($G148+$F148=0),$H148=0),0,MIN((VLOOKUP($E148,$A$232:$C$241,3,0))*(IF($E148=6,$W148,$O148))*((MIN((VLOOKUP($E148,$A$232:$E$241,5,0)),(IF($E148=6,$O148,$W148))))),MIN((VLOOKUP($E148,$A$232:$C$241,3,0)),($F148+$G148))*(IF($E148=6,$W148,((MIN((VLOOKUP($E148,$A$232:$E$241,5,0)),$W148)))))))))*$X148</f>
        <v>0</v>
      </c>
      <c r="AA148" s="139">
        <f t="shared" si="22"/>
        <v>0</v>
      </c>
      <c r="AB148" s="126"/>
      <c r="AC148" s="295"/>
      <c r="AD148" s="295"/>
      <c r="AF148" s="359">
        <f t="shared" si="29"/>
        <v>0</v>
      </c>
    </row>
    <row r="149" spans="1:32" s="22" customFormat="1" ht="24.75" customHeight="1" outlineLevel="1" x14ac:dyDescent="0.2">
      <c r="A149" s="177">
        <v>146</v>
      </c>
      <c r="B149" s="325"/>
      <c r="C149" s="334"/>
      <c r="D149" s="334"/>
      <c r="E149" s="326"/>
      <c r="F149" s="327"/>
      <c r="G149" s="328"/>
      <c r="H149" s="329"/>
      <c r="I149" s="329"/>
      <c r="J149" s="330"/>
      <c r="K149" s="331">
        <f>(IF(OR($B149=0,$C149=0,$D149=0),0,IF(OR($E149=0,($G149+$F149=0),$H149=0),0,MIN((VLOOKUP($E149,$A$232:$C$241,3,0))*(IF($E149=6,$I149,$H149))*((MIN((VLOOKUP($E149,$A$232:$E$241,5,0)),(IF($E149=6,$H149,$I149))))),MIN((VLOOKUP($E149,$A$232:$C$241,3,0)),($F149+$G149))*(IF($E149=6,$I149,((MIN((VLOOKUP($E149,$A$232:$E$241,5,0)),$I149)))))))))*$J149</f>
        <v>0</v>
      </c>
      <c r="L149" s="332">
        <f t="shared" si="23"/>
        <v>0</v>
      </c>
      <c r="M149" s="333">
        <f t="shared" si="24"/>
        <v>0</v>
      </c>
      <c r="N149" s="277" t="str">
        <f>IF(E149&gt;0,MIN((VLOOKUP($E149,$A$232:$C$241,3,0)),($F149+$G149)),"")</f>
        <v/>
      </c>
      <c r="O149" s="273">
        <f>IF(E149=6,(MIN(VLOOKUP($E149,$A$232:$E$241,5,0),H149)),H149)</f>
        <v>0</v>
      </c>
      <c r="P149" s="272">
        <f>IF(E149=6,I149,IF(E149&gt;0,MIN((VLOOKUP($E149,$A$232:$E$241,5,0)),(I149)),0))*(1-$T$2)</f>
        <v>0</v>
      </c>
      <c r="Q149" s="62">
        <f t="shared" si="25"/>
        <v>0</v>
      </c>
      <c r="R149" s="274" t="str">
        <f t="shared" si="26"/>
        <v/>
      </c>
      <c r="S149" s="269">
        <f>(IF(OR($B149=0,$C149=0,$D149=0),0,IF(OR($E149=0,($G149+$F149=0),$H149=0),0,MIN((VLOOKUP($E149,$A$232:$C$241,3,0))*(IF($E149=6,$P149,$O149))*((MIN((VLOOKUP($E149,$A$232:$E$241,5,0)),(IF($E149=6,$O149,$P149))))),MIN((VLOOKUP($E149,$A$232:$C$241,3,0)),($F149+$G149))*(IF($E149=6,$P149,((MIN((VLOOKUP($E149,$A$232:$E$241,5,0)),$P149)))))))))*$Q149</f>
        <v>0</v>
      </c>
      <c r="T149" s="101">
        <f t="shared" si="27"/>
        <v>0</v>
      </c>
      <c r="U149" s="122"/>
      <c r="V149" s="300"/>
      <c r="W149" s="131">
        <f t="shared" si="30"/>
        <v>0</v>
      </c>
      <c r="X149" s="62">
        <f t="shared" si="28"/>
        <v>0</v>
      </c>
      <c r="Y149" s="63" t="str">
        <f t="shared" si="21"/>
        <v/>
      </c>
      <c r="Z149" s="133">
        <f>(IF(OR($B149=0,$C149=0,$D149=0),0,IF(OR($E149=0,($G149+$F149=0),$H149=0),0,MIN((VLOOKUP($E149,$A$232:$C$241,3,0))*(IF($E149=6,$W149,$O149))*((MIN((VLOOKUP($E149,$A$232:$E$241,5,0)),(IF($E149=6,$O149,$W149))))),MIN((VLOOKUP($E149,$A$232:$C$241,3,0)),($F149+$G149))*(IF($E149=6,$W149,((MIN((VLOOKUP($E149,$A$232:$E$241,5,0)),$W149)))))))))*$X149</f>
        <v>0</v>
      </c>
      <c r="AA149" s="139">
        <f t="shared" si="22"/>
        <v>0</v>
      </c>
      <c r="AB149" s="126"/>
      <c r="AC149" s="295"/>
      <c r="AD149" s="295"/>
      <c r="AF149" s="359">
        <f t="shared" si="29"/>
        <v>0</v>
      </c>
    </row>
    <row r="150" spans="1:32" s="22" customFormat="1" ht="24.75" customHeight="1" outlineLevel="1" x14ac:dyDescent="0.2">
      <c r="A150" s="177">
        <v>147</v>
      </c>
      <c r="B150" s="325"/>
      <c r="C150" s="334"/>
      <c r="D150" s="334"/>
      <c r="E150" s="326"/>
      <c r="F150" s="327"/>
      <c r="G150" s="328"/>
      <c r="H150" s="329"/>
      <c r="I150" s="329"/>
      <c r="J150" s="330"/>
      <c r="K150" s="331">
        <f>(IF(OR($B150=0,$C150=0,$D150=0),0,IF(OR($E150=0,($G150+$F150=0),$H150=0),0,MIN((VLOOKUP($E150,$A$232:$C$241,3,0))*(IF($E150=6,$I150,$H150))*((MIN((VLOOKUP($E150,$A$232:$E$241,5,0)),(IF($E150=6,$H150,$I150))))),MIN((VLOOKUP($E150,$A$232:$C$241,3,0)),($F150+$G150))*(IF($E150=6,$I150,((MIN((VLOOKUP($E150,$A$232:$E$241,5,0)),$I150)))))))))*$J150</f>
        <v>0</v>
      </c>
      <c r="L150" s="332">
        <f t="shared" si="23"/>
        <v>0</v>
      </c>
      <c r="M150" s="333">
        <f t="shared" si="24"/>
        <v>0</v>
      </c>
      <c r="N150" s="277" t="str">
        <f>IF(E150&gt;0,MIN((VLOOKUP($E150,$A$232:$C$241,3,0)),($F150+$G150)),"")</f>
        <v/>
      </c>
      <c r="O150" s="273">
        <f>IF(E150=6,(MIN(VLOOKUP($E150,$A$232:$E$241,5,0),H150)),H150)</f>
        <v>0</v>
      </c>
      <c r="P150" s="272">
        <f>IF(E150=6,I150,IF(E150&gt;0,MIN((VLOOKUP($E150,$A$232:$E$241,5,0)),(I150)),0))*(1-$T$2)</f>
        <v>0</v>
      </c>
      <c r="Q150" s="62">
        <f t="shared" si="25"/>
        <v>0</v>
      </c>
      <c r="R150" s="274" t="str">
        <f t="shared" si="26"/>
        <v/>
      </c>
      <c r="S150" s="269">
        <f>(IF(OR($B150=0,$C150=0,$D150=0),0,IF(OR($E150=0,($G150+$F150=0),$H150=0),0,MIN((VLOOKUP($E150,$A$232:$C$241,3,0))*(IF($E150=6,$P150,$O150))*((MIN((VLOOKUP($E150,$A$232:$E$241,5,0)),(IF($E150=6,$O150,$P150))))),MIN((VLOOKUP($E150,$A$232:$C$241,3,0)),($F150+$G150))*(IF($E150=6,$P150,((MIN((VLOOKUP($E150,$A$232:$E$241,5,0)),$P150)))))))))*$Q150</f>
        <v>0</v>
      </c>
      <c r="T150" s="101">
        <f t="shared" si="27"/>
        <v>0</v>
      </c>
      <c r="U150" s="122"/>
      <c r="V150" s="300"/>
      <c r="W150" s="131">
        <f t="shared" si="30"/>
        <v>0</v>
      </c>
      <c r="X150" s="62">
        <f t="shared" si="28"/>
        <v>0</v>
      </c>
      <c r="Y150" s="63" t="str">
        <f t="shared" si="21"/>
        <v/>
      </c>
      <c r="Z150" s="133">
        <f>(IF(OR($B150=0,$C150=0,$D150=0),0,IF(OR($E150=0,($G150+$F150=0),$H150=0),0,MIN((VLOOKUP($E150,$A$232:$C$241,3,0))*(IF($E150=6,$W150,$O150))*((MIN((VLOOKUP($E150,$A$232:$E$241,5,0)),(IF($E150=6,$O150,$W150))))),MIN((VLOOKUP($E150,$A$232:$C$241,3,0)),($F150+$G150))*(IF($E150=6,$W150,((MIN((VLOOKUP($E150,$A$232:$E$241,5,0)),$W150)))))))))*$X150</f>
        <v>0</v>
      </c>
      <c r="AA150" s="139">
        <f t="shared" si="22"/>
        <v>0</v>
      </c>
      <c r="AB150" s="126"/>
      <c r="AC150" s="295"/>
      <c r="AD150" s="295"/>
      <c r="AF150" s="359">
        <f t="shared" si="29"/>
        <v>0</v>
      </c>
    </row>
    <row r="151" spans="1:32" s="22" customFormat="1" ht="24.75" customHeight="1" outlineLevel="1" x14ac:dyDescent="0.2">
      <c r="A151" s="177">
        <v>148</v>
      </c>
      <c r="B151" s="325"/>
      <c r="C151" s="334"/>
      <c r="D151" s="334"/>
      <c r="E151" s="326"/>
      <c r="F151" s="327"/>
      <c r="G151" s="328"/>
      <c r="H151" s="329"/>
      <c r="I151" s="329"/>
      <c r="J151" s="330"/>
      <c r="K151" s="331">
        <f>(IF(OR($B151=0,$C151=0,$D151=0),0,IF(OR($E151=0,($G151+$F151=0),$H151=0),0,MIN((VLOOKUP($E151,$A$232:$C$241,3,0))*(IF($E151=6,$I151,$H151))*((MIN((VLOOKUP($E151,$A$232:$E$241,5,0)),(IF($E151=6,$H151,$I151))))),MIN((VLOOKUP($E151,$A$232:$C$241,3,0)),($F151+$G151))*(IF($E151=6,$I151,((MIN((VLOOKUP($E151,$A$232:$E$241,5,0)),$I151)))))))))*$J151</f>
        <v>0</v>
      </c>
      <c r="L151" s="332">
        <f t="shared" si="23"/>
        <v>0</v>
      </c>
      <c r="M151" s="333">
        <f t="shared" si="24"/>
        <v>0</v>
      </c>
      <c r="N151" s="277" t="str">
        <f>IF(E151&gt;0,MIN((VLOOKUP($E151,$A$232:$C$241,3,0)),($F151+$G151)),"")</f>
        <v/>
      </c>
      <c r="O151" s="273">
        <f>IF(E151=6,(MIN(VLOOKUP($E151,$A$232:$E$241,5,0),H151)),H151)</f>
        <v>0</v>
      </c>
      <c r="P151" s="272">
        <f>IF(E151=6,I151,IF(E151&gt;0,MIN((VLOOKUP($E151,$A$232:$E$241,5,0)),(I151)),0))*(1-$T$2)</f>
        <v>0</v>
      </c>
      <c r="Q151" s="62">
        <f t="shared" si="25"/>
        <v>0</v>
      </c>
      <c r="R151" s="274" t="str">
        <f t="shared" si="26"/>
        <v/>
      </c>
      <c r="S151" s="269">
        <f>(IF(OR($B151=0,$C151=0,$D151=0),0,IF(OR($E151=0,($G151+$F151=0),$H151=0),0,MIN((VLOOKUP($E151,$A$232:$C$241,3,0))*(IF($E151=6,$P151,$O151))*((MIN((VLOOKUP($E151,$A$232:$E$241,5,0)),(IF($E151=6,$O151,$P151))))),MIN((VLOOKUP($E151,$A$232:$C$241,3,0)),($F151+$G151))*(IF($E151=6,$P151,((MIN((VLOOKUP($E151,$A$232:$E$241,5,0)),$P151)))))))))*$Q151</f>
        <v>0</v>
      </c>
      <c r="T151" s="101">
        <f t="shared" si="27"/>
        <v>0</v>
      </c>
      <c r="U151" s="122"/>
      <c r="V151" s="300"/>
      <c r="W151" s="131">
        <f t="shared" si="30"/>
        <v>0</v>
      </c>
      <c r="X151" s="62">
        <f t="shared" si="28"/>
        <v>0</v>
      </c>
      <c r="Y151" s="63" t="str">
        <f t="shared" si="21"/>
        <v/>
      </c>
      <c r="Z151" s="133">
        <f>(IF(OR($B151=0,$C151=0,$D151=0),0,IF(OR($E151=0,($G151+$F151=0),$H151=0),0,MIN((VLOOKUP($E151,$A$232:$C$241,3,0))*(IF($E151=6,$W151,$O151))*((MIN((VLOOKUP($E151,$A$232:$E$241,5,0)),(IF($E151=6,$O151,$W151))))),MIN((VLOOKUP($E151,$A$232:$C$241,3,0)),($F151+$G151))*(IF($E151=6,$W151,((MIN((VLOOKUP($E151,$A$232:$E$241,5,0)),$W151)))))))))*$X151</f>
        <v>0</v>
      </c>
      <c r="AA151" s="139">
        <f t="shared" si="22"/>
        <v>0</v>
      </c>
      <c r="AB151" s="126"/>
      <c r="AC151" s="295"/>
      <c r="AD151" s="295"/>
      <c r="AF151" s="359">
        <f t="shared" si="29"/>
        <v>0</v>
      </c>
    </row>
    <row r="152" spans="1:32" s="22" customFormat="1" ht="24.75" customHeight="1" outlineLevel="1" x14ac:dyDescent="0.2">
      <c r="A152" s="177">
        <v>149</v>
      </c>
      <c r="B152" s="325"/>
      <c r="C152" s="334"/>
      <c r="D152" s="334"/>
      <c r="E152" s="326"/>
      <c r="F152" s="327"/>
      <c r="G152" s="328"/>
      <c r="H152" s="329"/>
      <c r="I152" s="329"/>
      <c r="J152" s="330"/>
      <c r="K152" s="331">
        <f>(IF(OR($B152=0,$C152=0,$D152=0),0,IF(OR($E152=0,($G152+$F152=0),$H152=0),0,MIN((VLOOKUP($E152,$A$232:$C$241,3,0))*(IF($E152=6,$I152,$H152))*((MIN((VLOOKUP($E152,$A$232:$E$241,5,0)),(IF($E152=6,$H152,$I152))))),MIN((VLOOKUP($E152,$A$232:$C$241,3,0)),($F152+$G152))*(IF($E152=6,$I152,((MIN((VLOOKUP($E152,$A$232:$E$241,5,0)),$I152)))))))))*$J152</f>
        <v>0</v>
      </c>
      <c r="L152" s="332">
        <f t="shared" si="23"/>
        <v>0</v>
      </c>
      <c r="M152" s="333">
        <f t="shared" si="24"/>
        <v>0</v>
      </c>
      <c r="N152" s="277" t="str">
        <f>IF(E152&gt;0,MIN((VLOOKUP($E152,$A$232:$C$241,3,0)),($F152+$G152)),"")</f>
        <v/>
      </c>
      <c r="O152" s="273">
        <f>IF(E152=6,(MIN(VLOOKUP($E152,$A$232:$E$241,5,0),H152)),H152)</f>
        <v>0</v>
      </c>
      <c r="P152" s="272">
        <f>IF(E152=6,I152,IF(E152&gt;0,MIN((VLOOKUP($E152,$A$232:$E$241,5,0)),(I152)),0))*(1-$T$2)</f>
        <v>0</v>
      </c>
      <c r="Q152" s="62">
        <f t="shared" si="25"/>
        <v>0</v>
      </c>
      <c r="R152" s="274" t="str">
        <f t="shared" si="26"/>
        <v/>
      </c>
      <c r="S152" s="269">
        <f>(IF(OR($B152=0,$C152=0,$D152=0),0,IF(OR($E152=0,($G152+$F152=0),$H152=0),0,MIN((VLOOKUP($E152,$A$232:$C$241,3,0))*(IF($E152=6,$P152,$O152))*((MIN((VLOOKUP($E152,$A$232:$E$241,5,0)),(IF($E152=6,$O152,$P152))))),MIN((VLOOKUP($E152,$A$232:$C$241,3,0)),($F152+$G152))*(IF($E152=6,$P152,((MIN((VLOOKUP($E152,$A$232:$E$241,5,0)),$P152)))))))))*$Q152</f>
        <v>0</v>
      </c>
      <c r="T152" s="101">
        <f t="shared" si="27"/>
        <v>0</v>
      </c>
      <c r="U152" s="122"/>
      <c r="V152" s="300"/>
      <c r="W152" s="131">
        <f t="shared" si="30"/>
        <v>0</v>
      </c>
      <c r="X152" s="62">
        <f t="shared" si="28"/>
        <v>0</v>
      </c>
      <c r="Y152" s="63" t="str">
        <f t="shared" si="21"/>
        <v/>
      </c>
      <c r="Z152" s="133">
        <f>(IF(OR($B152=0,$C152=0,$D152=0),0,IF(OR($E152=0,($G152+$F152=0),$H152=0),0,MIN((VLOOKUP($E152,$A$232:$C$241,3,0))*(IF($E152=6,$W152,$O152))*((MIN((VLOOKUP($E152,$A$232:$E$241,5,0)),(IF($E152=6,$O152,$W152))))),MIN((VLOOKUP($E152,$A$232:$C$241,3,0)),($F152+$G152))*(IF($E152=6,$W152,((MIN((VLOOKUP($E152,$A$232:$E$241,5,0)),$W152)))))))))*$X152</f>
        <v>0</v>
      </c>
      <c r="AA152" s="139">
        <f t="shared" si="22"/>
        <v>0</v>
      </c>
      <c r="AB152" s="126"/>
      <c r="AC152" s="295"/>
      <c r="AD152" s="295"/>
      <c r="AF152" s="359">
        <f t="shared" si="29"/>
        <v>0</v>
      </c>
    </row>
    <row r="153" spans="1:32" s="22" customFormat="1" ht="24.75" customHeight="1" outlineLevel="1" x14ac:dyDescent="0.2">
      <c r="A153" s="177">
        <v>150</v>
      </c>
      <c r="B153" s="325"/>
      <c r="C153" s="334"/>
      <c r="D153" s="334"/>
      <c r="E153" s="326"/>
      <c r="F153" s="327"/>
      <c r="G153" s="328"/>
      <c r="H153" s="329"/>
      <c r="I153" s="329"/>
      <c r="J153" s="330"/>
      <c r="K153" s="331">
        <f>(IF(OR($B153=0,$C153=0,$D153=0),0,IF(OR($E153=0,($G153+$F153=0),$H153=0),0,MIN((VLOOKUP($E153,$A$232:$C$241,3,0))*(IF($E153=6,$I153,$H153))*((MIN((VLOOKUP($E153,$A$232:$E$241,5,0)),(IF($E153=6,$H153,$I153))))),MIN((VLOOKUP($E153,$A$232:$C$241,3,0)),($F153+$G153))*(IF($E153=6,$I153,((MIN((VLOOKUP($E153,$A$232:$E$241,5,0)),$I153)))))))))*$J153</f>
        <v>0</v>
      </c>
      <c r="L153" s="332">
        <f t="shared" si="23"/>
        <v>0</v>
      </c>
      <c r="M153" s="333">
        <f t="shared" si="24"/>
        <v>0</v>
      </c>
      <c r="N153" s="277" t="str">
        <f>IF(E153&gt;0,MIN((VLOOKUP($E153,$A$232:$C$241,3,0)),($F153+$G153)),"")</f>
        <v/>
      </c>
      <c r="O153" s="273">
        <f>IF(E153=6,(MIN(VLOOKUP($E153,$A$232:$E$241,5,0),H153)),H153)</f>
        <v>0</v>
      </c>
      <c r="P153" s="272">
        <f>IF(E153=6,I153,IF(E153&gt;0,MIN((VLOOKUP($E153,$A$232:$E$241,5,0)),(I153)),0))*(1-$T$2)</f>
        <v>0</v>
      </c>
      <c r="Q153" s="62">
        <f t="shared" si="25"/>
        <v>0</v>
      </c>
      <c r="R153" s="274" t="str">
        <f t="shared" si="26"/>
        <v/>
      </c>
      <c r="S153" s="269">
        <f>(IF(OR($B153=0,$C153=0,$D153=0),0,IF(OR($E153=0,($G153+$F153=0),$H153=0),0,MIN((VLOOKUP($E153,$A$232:$C$241,3,0))*(IF($E153=6,$P153,$O153))*((MIN((VLOOKUP($E153,$A$232:$E$241,5,0)),(IF($E153=6,$O153,$P153))))),MIN((VLOOKUP($E153,$A$232:$C$241,3,0)),($F153+$G153))*(IF($E153=6,$P153,((MIN((VLOOKUP($E153,$A$232:$E$241,5,0)),$P153)))))))))*$Q153</f>
        <v>0</v>
      </c>
      <c r="T153" s="101">
        <f t="shared" si="27"/>
        <v>0</v>
      </c>
      <c r="U153" s="122"/>
      <c r="V153" s="300"/>
      <c r="W153" s="131">
        <f t="shared" si="30"/>
        <v>0</v>
      </c>
      <c r="X153" s="62">
        <f t="shared" si="28"/>
        <v>0</v>
      </c>
      <c r="Y153" s="63" t="str">
        <f t="shared" si="21"/>
        <v/>
      </c>
      <c r="Z153" s="133">
        <f>(IF(OR($B153=0,$C153=0,$D153=0),0,IF(OR($E153=0,($G153+$F153=0),$H153=0),0,MIN((VLOOKUP($E153,$A$232:$C$241,3,0))*(IF($E153=6,$W153,$O153))*((MIN((VLOOKUP($E153,$A$232:$E$241,5,0)),(IF($E153=6,$O153,$W153))))),MIN((VLOOKUP($E153,$A$232:$C$241,3,0)),($F153+$G153))*(IF($E153=6,$W153,((MIN((VLOOKUP($E153,$A$232:$E$241,5,0)),$W153)))))))))*$X153</f>
        <v>0</v>
      </c>
      <c r="AA153" s="139">
        <f t="shared" si="22"/>
        <v>0</v>
      </c>
      <c r="AB153" s="126"/>
      <c r="AC153" s="295"/>
      <c r="AD153" s="295"/>
      <c r="AF153" s="359">
        <f t="shared" si="29"/>
        <v>0</v>
      </c>
    </row>
    <row r="154" spans="1:32" s="22" customFormat="1" ht="24.75" customHeight="1" outlineLevel="1" x14ac:dyDescent="0.2">
      <c r="A154" s="177">
        <v>151</v>
      </c>
      <c r="B154" s="325"/>
      <c r="C154" s="334"/>
      <c r="D154" s="334"/>
      <c r="E154" s="326"/>
      <c r="F154" s="327"/>
      <c r="G154" s="328"/>
      <c r="H154" s="329"/>
      <c r="I154" s="329"/>
      <c r="J154" s="330"/>
      <c r="K154" s="331">
        <f>(IF(OR($B154=0,$C154=0,$D154=0),0,IF(OR($E154=0,($G154+$F154=0),$H154=0),0,MIN((VLOOKUP($E154,$A$232:$C$241,3,0))*(IF($E154=6,$I154,$H154))*((MIN((VLOOKUP($E154,$A$232:$E$241,5,0)),(IF($E154=6,$H154,$I154))))),MIN((VLOOKUP($E154,$A$232:$C$241,3,0)),($F154+$G154))*(IF($E154=6,$I154,((MIN((VLOOKUP($E154,$A$232:$E$241,5,0)),$I154)))))))))*$J154</f>
        <v>0</v>
      </c>
      <c r="L154" s="332">
        <f t="shared" si="23"/>
        <v>0</v>
      </c>
      <c r="M154" s="333">
        <f t="shared" si="24"/>
        <v>0</v>
      </c>
      <c r="N154" s="277" t="str">
        <f>IF(E154&gt;0,MIN((VLOOKUP($E154,$A$232:$C$241,3,0)),($F154+$G154)),"")</f>
        <v/>
      </c>
      <c r="O154" s="273">
        <f>IF(E154=6,(MIN(VLOOKUP($E154,$A$232:$E$241,5,0),H154)),H154)</f>
        <v>0</v>
      </c>
      <c r="P154" s="272">
        <f>IF(E154=6,I154,IF(E154&gt;0,MIN((VLOOKUP($E154,$A$232:$E$241,5,0)),(I154)),0))*(1-$T$2)</f>
        <v>0</v>
      </c>
      <c r="Q154" s="62">
        <f t="shared" si="25"/>
        <v>0</v>
      </c>
      <c r="R154" s="274" t="str">
        <f t="shared" si="26"/>
        <v/>
      </c>
      <c r="S154" s="269">
        <f>(IF(OR($B154=0,$C154=0,$D154=0),0,IF(OR($E154=0,($G154+$F154=0),$H154=0),0,MIN((VLOOKUP($E154,$A$232:$C$241,3,0))*(IF($E154=6,$P154,$O154))*((MIN((VLOOKUP($E154,$A$232:$E$241,5,0)),(IF($E154=6,$O154,$P154))))),MIN((VLOOKUP($E154,$A$232:$C$241,3,0)),($F154+$G154))*(IF($E154=6,$P154,((MIN((VLOOKUP($E154,$A$232:$E$241,5,0)),$P154)))))))))*$Q154</f>
        <v>0</v>
      </c>
      <c r="T154" s="101">
        <f t="shared" si="27"/>
        <v>0</v>
      </c>
      <c r="U154" s="122"/>
      <c r="V154" s="300"/>
      <c r="W154" s="131">
        <f t="shared" si="30"/>
        <v>0</v>
      </c>
      <c r="X154" s="62">
        <f t="shared" si="28"/>
        <v>0</v>
      </c>
      <c r="Y154" s="63" t="str">
        <f t="shared" si="21"/>
        <v/>
      </c>
      <c r="Z154" s="133">
        <f>(IF(OR($B154=0,$C154=0,$D154=0),0,IF(OR($E154=0,($G154+$F154=0),$H154=0),0,MIN((VLOOKUP($E154,$A$232:$C$241,3,0))*(IF($E154=6,$W154,$O154))*((MIN((VLOOKUP($E154,$A$232:$E$241,5,0)),(IF($E154=6,$O154,$W154))))),MIN((VLOOKUP($E154,$A$232:$C$241,3,0)),($F154+$G154))*(IF($E154=6,$W154,((MIN((VLOOKUP($E154,$A$232:$E$241,5,0)),$W154)))))))))*$X154</f>
        <v>0</v>
      </c>
      <c r="AA154" s="139">
        <f t="shared" si="22"/>
        <v>0</v>
      </c>
      <c r="AB154" s="126"/>
      <c r="AC154" s="295"/>
      <c r="AD154" s="295"/>
      <c r="AF154" s="359">
        <f t="shared" si="29"/>
        <v>0</v>
      </c>
    </row>
    <row r="155" spans="1:32" s="22" customFormat="1" ht="24.75" customHeight="1" outlineLevel="1" x14ac:dyDescent="0.2">
      <c r="A155" s="177">
        <v>152</v>
      </c>
      <c r="B155" s="325"/>
      <c r="C155" s="334"/>
      <c r="D155" s="334"/>
      <c r="E155" s="326"/>
      <c r="F155" s="327"/>
      <c r="G155" s="328"/>
      <c r="H155" s="329"/>
      <c r="I155" s="329"/>
      <c r="J155" s="330"/>
      <c r="K155" s="331">
        <f>(IF(OR($B155=0,$C155=0,$D155=0),0,IF(OR($E155=0,($G155+$F155=0),$H155=0),0,MIN((VLOOKUP($E155,$A$232:$C$241,3,0))*(IF($E155=6,$I155,$H155))*((MIN((VLOOKUP($E155,$A$232:$E$241,5,0)),(IF($E155=6,$H155,$I155))))),MIN((VLOOKUP($E155,$A$232:$C$241,3,0)),($F155+$G155))*(IF($E155=6,$I155,((MIN((VLOOKUP($E155,$A$232:$E$241,5,0)),$I155)))))))))*$J155</f>
        <v>0</v>
      </c>
      <c r="L155" s="332">
        <f t="shared" si="23"/>
        <v>0</v>
      </c>
      <c r="M155" s="333">
        <f t="shared" si="24"/>
        <v>0</v>
      </c>
      <c r="N155" s="277" t="str">
        <f>IF(E155&gt;0,MIN((VLOOKUP($E155,$A$232:$C$241,3,0)),($F155+$G155)),"")</f>
        <v/>
      </c>
      <c r="O155" s="273">
        <f>IF(E155=6,(MIN(VLOOKUP($E155,$A$232:$E$241,5,0),H155)),H155)</f>
        <v>0</v>
      </c>
      <c r="P155" s="272">
        <f>IF(E155=6,I155,IF(E155&gt;0,MIN((VLOOKUP($E155,$A$232:$E$241,5,0)),(I155)),0))*(1-$T$2)</f>
        <v>0</v>
      </c>
      <c r="Q155" s="62">
        <f t="shared" si="25"/>
        <v>0</v>
      </c>
      <c r="R155" s="274" t="str">
        <f t="shared" si="26"/>
        <v/>
      </c>
      <c r="S155" s="269">
        <f>(IF(OR($B155=0,$C155=0,$D155=0),0,IF(OR($E155=0,($G155+$F155=0),$H155=0),0,MIN((VLOOKUP($E155,$A$232:$C$241,3,0))*(IF($E155=6,$P155,$O155))*((MIN((VLOOKUP($E155,$A$232:$E$241,5,0)),(IF($E155=6,$O155,$P155))))),MIN((VLOOKUP($E155,$A$232:$C$241,3,0)),($F155+$G155))*(IF($E155=6,$P155,((MIN((VLOOKUP($E155,$A$232:$E$241,5,0)),$P155)))))))))*$Q155</f>
        <v>0</v>
      </c>
      <c r="T155" s="101">
        <f t="shared" si="27"/>
        <v>0</v>
      </c>
      <c r="U155" s="122"/>
      <c r="V155" s="300"/>
      <c r="W155" s="131">
        <f t="shared" si="30"/>
        <v>0</v>
      </c>
      <c r="X155" s="62">
        <f t="shared" si="28"/>
        <v>0</v>
      </c>
      <c r="Y155" s="63" t="str">
        <f t="shared" si="21"/>
        <v/>
      </c>
      <c r="Z155" s="133">
        <f>(IF(OR($B155=0,$C155=0,$D155=0),0,IF(OR($E155=0,($G155+$F155=0),$H155=0),0,MIN((VLOOKUP($E155,$A$232:$C$241,3,0))*(IF($E155=6,$W155,$O155))*((MIN((VLOOKUP($E155,$A$232:$E$241,5,0)),(IF($E155=6,$O155,$W155))))),MIN((VLOOKUP($E155,$A$232:$C$241,3,0)),($F155+$G155))*(IF($E155=6,$W155,((MIN((VLOOKUP($E155,$A$232:$E$241,5,0)),$W155)))))))))*$X155</f>
        <v>0</v>
      </c>
      <c r="AA155" s="139">
        <f t="shared" si="22"/>
        <v>0</v>
      </c>
      <c r="AB155" s="126"/>
      <c r="AC155" s="295"/>
      <c r="AD155" s="295"/>
      <c r="AF155" s="359">
        <f t="shared" si="29"/>
        <v>0</v>
      </c>
    </row>
    <row r="156" spans="1:32" s="22" customFormat="1" ht="24.75" customHeight="1" outlineLevel="1" x14ac:dyDescent="0.2">
      <c r="A156" s="177">
        <v>153</v>
      </c>
      <c r="B156" s="325"/>
      <c r="C156" s="334"/>
      <c r="D156" s="334"/>
      <c r="E156" s="326"/>
      <c r="F156" s="327"/>
      <c r="G156" s="328"/>
      <c r="H156" s="329"/>
      <c r="I156" s="329"/>
      <c r="J156" s="330"/>
      <c r="K156" s="331">
        <f>(IF(OR($B156=0,$C156=0,$D156=0),0,IF(OR($E156=0,($G156+$F156=0),$H156=0),0,MIN((VLOOKUP($E156,$A$232:$C$241,3,0))*(IF($E156=6,$I156,$H156))*((MIN((VLOOKUP($E156,$A$232:$E$241,5,0)),(IF($E156=6,$H156,$I156))))),MIN((VLOOKUP($E156,$A$232:$C$241,3,0)),($F156+$G156))*(IF($E156=6,$I156,((MIN((VLOOKUP($E156,$A$232:$E$241,5,0)),$I156)))))))))*$J156</f>
        <v>0</v>
      </c>
      <c r="L156" s="332">
        <f t="shared" si="23"/>
        <v>0</v>
      </c>
      <c r="M156" s="333">
        <f t="shared" si="24"/>
        <v>0</v>
      </c>
      <c r="N156" s="277" t="str">
        <f>IF(E156&gt;0,MIN((VLOOKUP($E156,$A$232:$C$241,3,0)),($F156+$G156)),"")</f>
        <v/>
      </c>
      <c r="O156" s="273">
        <f>IF(E156=6,(MIN(VLOOKUP($E156,$A$232:$E$241,5,0),H156)),H156)</f>
        <v>0</v>
      </c>
      <c r="P156" s="272">
        <f>IF(E156=6,I156,IF(E156&gt;0,MIN((VLOOKUP($E156,$A$232:$E$241,5,0)),(I156)),0))*(1-$T$2)</f>
        <v>0</v>
      </c>
      <c r="Q156" s="62">
        <f t="shared" si="25"/>
        <v>0</v>
      </c>
      <c r="R156" s="274" t="str">
        <f t="shared" si="26"/>
        <v/>
      </c>
      <c r="S156" s="269">
        <f>(IF(OR($B156=0,$C156=0,$D156=0),0,IF(OR($E156=0,($G156+$F156=0),$H156=0),0,MIN((VLOOKUP($E156,$A$232:$C$241,3,0))*(IF($E156=6,$P156,$O156))*((MIN((VLOOKUP($E156,$A$232:$E$241,5,0)),(IF($E156=6,$O156,$P156))))),MIN((VLOOKUP($E156,$A$232:$C$241,3,0)),($F156+$G156))*(IF($E156=6,$P156,((MIN((VLOOKUP($E156,$A$232:$E$241,5,0)),$P156)))))))))*$Q156</f>
        <v>0</v>
      </c>
      <c r="T156" s="101">
        <f t="shared" si="27"/>
        <v>0</v>
      </c>
      <c r="U156" s="122"/>
      <c r="V156" s="300"/>
      <c r="W156" s="131">
        <f t="shared" si="30"/>
        <v>0</v>
      </c>
      <c r="X156" s="62">
        <f t="shared" si="28"/>
        <v>0</v>
      </c>
      <c r="Y156" s="63" t="str">
        <f t="shared" si="21"/>
        <v/>
      </c>
      <c r="Z156" s="133">
        <f>(IF(OR($B156=0,$C156=0,$D156=0),0,IF(OR($E156=0,($G156+$F156=0),$H156=0),0,MIN((VLOOKUP($E156,$A$232:$C$241,3,0))*(IF($E156=6,$W156,$O156))*((MIN((VLOOKUP($E156,$A$232:$E$241,5,0)),(IF($E156=6,$O156,$W156))))),MIN((VLOOKUP($E156,$A$232:$C$241,3,0)),($F156+$G156))*(IF($E156=6,$W156,((MIN((VLOOKUP($E156,$A$232:$E$241,5,0)),$W156)))))))))*$X156</f>
        <v>0</v>
      </c>
      <c r="AA156" s="139">
        <f t="shared" si="22"/>
        <v>0</v>
      </c>
      <c r="AB156" s="126"/>
      <c r="AC156" s="295"/>
      <c r="AD156" s="295"/>
      <c r="AF156" s="359">
        <f t="shared" si="29"/>
        <v>0</v>
      </c>
    </row>
    <row r="157" spans="1:32" s="22" customFormat="1" ht="24.75" customHeight="1" outlineLevel="1" x14ac:dyDescent="0.2">
      <c r="A157" s="177">
        <v>154</v>
      </c>
      <c r="B157" s="325"/>
      <c r="C157" s="334"/>
      <c r="D157" s="334"/>
      <c r="E157" s="326"/>
      <c r="F157" s="327"/>
      <c r="G157" s="328"/>
      <c r="H157" s="329"/>
      <c r="I157" s="329"/>
      <c r="J157" s="330"/>
      <c r="K157" s="331">
        <f>(IF(OR($B157=0,$C157=0,$D157=0),0,IF(OR($E157=0,($G157+$F157=0),$H157=0),0,MIN((VLOOKUP($E157,$A$232:$C$241,3,0))*(IF($E157=6,$I157,$H157))*((MIN((VLOOKUP($E157,$A$232:$E$241,5,0)),(IF($E157=6,$H157,$I157))))),MIN((VLOOKUP($E157,$A$232:$C$241,3,0)),($F157+$G157))*(IF($E157=6,$I157,((MIN((VLOOKUP($E157,$A$232:$E$241,5,0)),$I157)))))))))*$J157</f>
        <v>0</v>
      </c>
      <c r="L157" s="332">
        <f t="shared" si="23"/>
        <v>0</v>
      </c>
      <c r="M157" s="333">
        <f t="shared" si="24"/>
        <v>0</v>
      </c>
      <c r="N157" s="277" t="str">
        <f>IF(E157&gt;0,MIN((VLOOKUP($E157,$A$232:$C$241,3,0)),($F157+$G157)),"")</f>
        <v/>
      </c>
      <c r="O157" s="273">
        <f>IF(E157=6,(MIN(VLOOKUP($E157,$A$232:$E$241,5,0),H157)),H157)</f>
        <v>0</v>
      </c>
      <c r="P157" s="272">
        <f>IF(E157=6,I157,IF(E157&gt;0,MIN((VLOOKUP($E157,$A$232:$E$241,5,0)),(I157)),0))*(1-$T$2)</f>
        <v>0</v>
      </c>
      <c r="Q157" s="62">
        <f t="shared" si="25"/>
        <v>0</v>
      </c>
      <c r="R157" s="274" t="str">
        <f t="shared" si="26"/>
        <v/>
      </c>
      <c r="S157" s="269">
        <f>(IF(OR($B157=0,$C157=0,$D157=0),0,IF(OR($E157=0,($G157+$F157=0),$H157=0),0,MIN((VLOOKUP($E157,$A$232:$C$241,3,0))*(IF($E157=6,$P157,$O157))*((MIN((VLOOKUP($E157,$A$232:$E$241,5,0)),(IF($E157=6,$O157,$P157))))),MIN((VLOOKUP($E157,$A$232:$C$241,3,0)),($F157+$G157))*(IF($E157=6,$P157,((MIN((VLOOKUP($E157,$A$232:$E$241,5,0)),$P157)))))))))*$Q157</f>
        <v>0</v>
      </c>
      <c r="T157" s="101">
        <f t="shared" si="27"/>
        <v>0</v>
      </c>
      <c r="U157" s="122"/>
      <c r="V157" s="300"/>
      <c r="W157" s="131">
        <f t="shared" si="30"/>
        <v>0</v>
      </c>
      <c r="X157" s="62">
        <f t="shared" si="28"/>
        <v>0</v>
      </c>
      <c r="Y157" s="63" t="str">
        <f t="shared" si="21"/>
        <v/>
      </c>
      <c r="Z157" s="133">
        <f>(IF(OR($B157=0,$C157=0,$D157=0),0,IF(OR($E157=0,($G157+$F157=0),$H157=0),0,MIN((VLOOKUP($E157,$A$232:$C$241,3,0))*(IF($E157=6,$W157,$O157))*((MIN((VLOOKUP($E157,$A$232:$E$241,5,0)),(IF($E157=6,$O157,$W157))))),MIN((VLOOKUP($E157,$A$232:$C$241,3,0)),($F157+$G157))*(IF($E157=6,$W157,((MIN((VLOOKUP($E157,$A$232:$E$241,5,0)),$W157)))))))))*$X157</f>
        <v>0</v>
      </c>
      <c r="AA157" s="139">
        <f t="shared" si="22"/>
        <v>0</v>
      </c>
      <c r="AB157" s="126"/>
      <c r="AC157" s="295"/>
      <c r="AD157" s="295"/>
      <c r="AF157" s="359">
        <f t="shared" si="29"/>
        <v>0</v>
      </c>
    </row>
    <row r="158" spans="1:32" s="22" customFormat="1" ht="24.75" customHeight="1" outlineLevel="1" x14ac:dyDescent="0.2">
      <c r="A158" s="177">
        <v>155</v>
      </c>
      <c r="B158" s="325"/>
      <c r="C158" s="334"/>
      <c r="D158" s="334"/>
      <c r="E158" s="326"/>
      <c r="F158" s="327"/>
      <c r="G158" s="328"/>
      <c r="H158" s="329"/>
      <c r="I158" s="329"/>
      <c r="J158" s="330"/>
      <c r="K158" s="331">
        <f>(IF(OR($B158=0,$C158=0,$D158=0),0,IF(OR($E158=0,($G158+$F158=0),$H158=0),0,MIN((VLOOKUP($E158,$A$232:$C$241,3,0))*(IF($E158=6,$I158,$H158))*((MIN((VLOOKUP($E158,$A$232:$E$241,5,0)),(IF($E158=6,$H158,$I158))))),MIN((VLOOKUP($E158,$A$232:$C$241,3,0)),($F158+$G158))*(IF($E158=6,$I158,((MIN((VLOOKUP($E158,$A$232:$E$241,5,0)),$I158)))))))))*$J158</f>
        <v>0</v>
      </c>
      <c r="L158" s="332">
        <f t="shared" si="23"/>
        <v>0</v>
      </c>
      <c r="M158" s="333">
        <f t="shared" si="24"/>
        <v>0</v>
      </c>
      <c r="N158" s="277" t="str">
        <f>IF(E158&gt;0,MIN((VLOOKUP($E158,$A$232:$C$241,3,0)),($F158+$G158)),"")</f>
        <v/>
      </c>
      <c r="O158" s="273">
        <f>IF(E158=6,(MIN(VLOOKUP($E158,$A$232:$E$241,5,0),H158)),H158)</f>
        <v>0</v>
      </c>
      <c r="P158" s="272">
        <f>IF(E158=6,I158,IF(E158&gt;0,MIN((VLOOKUP($E158,$A$232:$E$241,5,0)),(I158)),0))*(1-$T$2)</f>
        <v>0</v>
      </c>
      <c r="Q158" s="62">
        <f t="shared" si="25"/>
        <v>0</v>
      </c>
      <c r="R158" s="274" t="str">
        <f t="shared" si="26"/>
        <v/>
      </c>
      <c r="S158" s="269">
        <f>(IF(OR($B158=0,$C158=0,$D158=0),0,IF(OR($E158=0,($G158+$F158=0),$H158=0),0,MIN((VLOOKUP($E158,$A$232:$C$241,3,0))*(IF($E158=6,$P158,$O158))*((MIN((VLOOKUP($E158,$A$232:$E$241,5,0)),(IF($E158=6,$O158,$P158))))),MIN((VLOOKUP($E158,$A$232:$C$241,3,0)),($F158+$G158))*(IF($E158=6,$P158,((MIN((VLOOKUP($E158,$A$232:$E$241,5,0)),$P158)))))))))*$Q158</f>
        <v>0</v>
      </c>
      <c r="T158" s="101">
        <f t="shared" si="27"/>
        <v>0</v>
      </c>
      <c r="U158" s="122"/>
      <c r="V158" s="300"/>
      <c r="W158" s="131">
        <f t="shared" si="30"/>
        <v>0</v>
      </c>
      <c r="X158" s="62">
        <f t="shared" si="28"/>
        <v>0</v>
      </c>
      <c r="Y158" s="63" t="str">
        <f t="shared" si="21"/>
        <v/>
      </c>
      <c r="Z158" s="133">
        <f>(IF(OR($B158=0,$C158=0,$D158=0),0,IF(OR($E158=0,($G158+$F158=0),$H158=0),0,MIN((VLOOKUP($E158,$A$232:$C$241,3,0))*(IF($E158=6,$W158,$O158))*((MIN((VLOOKUP($E158,$A$232:$E$241,5,0)),(IF($E158=6,$O158,$W158))))),MIN((VLOOKUP($E158,$A$232:$C$241,3,0)),($F158+$G158))*(IF($E158=6,$W158,((MIN((VLOOKUP($E158,$A$232:$E$241,5,0)),$W158)))))))))*$X158</f>
        <v>0</v>
      </c>
      <c r="AA158" s="139">
        <f t="shared" si="22"/>
        <v>0</v>
      </c>
      <c r="AB158" s="126"/>
      <c r="AC158" s="295"/>
      <c r="AD158" s="295"/>
      <c r="AF158" s="359">
        <f t="shared" si="29"/>
        <v>0</v>
      </c>
    </row>
    <row r="159" spans="1:32" s="22" customFormat="1" ht="24.75" customHeight="1" outlineLevel="1" x14ac:dyDescent="0.2">
      <c r="A159" s="177">
        <v>156</v>
      </c>
      <c r="B159" s="325"/>
      <c r="C159" s="334"/>
      <c r="D159" s="334"/>
      <c r="E159" s="326"/>
      <c r="F159" s="327"/>
      <c r="G159" s="328"/>
      <c r="H159" s="329"/>
      <c r="I159" s="329"/>
      <c r="J159" s="330"/>
      <c r="K159" s="331">
        <f>(IF(OR($B159=0,$C159=0,$D159=0),0,IF(OR($E159=0,($G159+$F159=0),$H159=0),0,MIN((VLOOKUP($E159,$A$232:$C$241,3,0))*(IF($E159=6,$I159,$H159))*((MIN((VLOOKUP($E159,$A$232:$E$241,5,0)),(IF($E159=6,$H159,$I159))))),MIN((VLOOKUP($E159,$A$232:$C$241,3,0)),($F159+$G159))*(IF($E159=6,$I159,((MIN((VLOOKUP($E159,$A$232:$E$241,5,0)),$I159)))))))))*$J159</f>
        <v>0</v>
      </c>
      <c r="L159" s="332">
        <f t="shared" si="23"/>
        <v>0</v>
      </c>
      <c r="M159" s="333">
        <f t="shared" si="24"/>
        <v>0</v>
      </c>
      <c r="N159" s="277" t="str">
        <f>IF(E159&gt;0,MIN((VLOOKUP($E159,$A$232:$C$241,3,0)),($F159+$G159)),"")</f>
        <v/>
      </c>
      <c r="O159" s="273">
        <f>IF(E159=6,(MIN(VLOOKUP($E159,$A$232:$E$241,5,0),H159)),H159)</f>
        <v>0</v>
      </c>
      <c r="P159" s="272">
        <f>IF(E159=6,I159,IF(E159&gt;0,MIN((VLOOKUP($E159,$A$232:$E$241,5,0)),(I159)),0))*(1-$T$2)</f>
        <v>0</v>
      </c>
      <c r="Q159" s="62">
        <f t="shared" si="25"/>
        <v>0</v>
      </c>
      <c r="R159" s="274" t="str">
        <f t="shared" si="26"/>
        <v/>
      </c>
      <c r="S159" s="269">
        <f>(IF(OR($B159=0,$C159=0,$D159=0),0,IF(OR($E159=0,($G159+$F159=0),$H159=0),0,MIN((VLOOKUP($E159,$A$232:$C$241,3,0))*(IF($E159=6,$P159,$O159))*((MIN((VLOOKUP($E159,$A$232:$E$241,5,0)),(IF($E159=6,$O159,$P159))))),MIN((VLOOKUP($E159,$A$232:$C$241,3,0)),($F159+$G159))*(IF($E159=6,$P159,((MIN((VLOOKUP($E159,$A$232:$E$241,5,0)),$P159)))))))))*$Q159</f>
        <v>0</v>
      </c>
      <c r="T159" s="101">
        <f t="shared" si="27"/>
        <v>0</v>
      </c>
      <c r="U159" s="122"/>
      <c r="V159" s="300"/>
      <c r="W159" s="131">
        <f t="shared" si="30"/>
        <v>0</v>
      </c>
      <c r="X159" s="62">
        <f t="shared" si="28"/>
        <v>0</v>
      </c>
      <c r="Y159" s="63" t="str">
        <f t="shared" si="21"/>
        <v/>
      </c>
      <c r="Z159" s="133">
        <f>(IF(OR($B159=0,$C159=0,$D159=0),0,IF(OR($E159=0,($G159+$F159=0),$H159=0),0,MIN((VLOOKUP($E159,$A$232:$C$241,3,0))*(IF($E159=6,$W159,$O159))*((MIN((VLOOKUP($E159,$A$232:$E$241,5,0)),(IF($E159=6,$O159,$W159))))),MIN((VLOOKUP($E159,$A$232:$C$241,3,0)),($F159+$G159))*(IF($E159=6,$W159,((MIN((VLOOKUP($E159,$A$232:$E$241,5,0)),$W159)))))))))*$X159</f>
        <v>0</v>
      </c>
      <c r="AA159" s="139">
        <f t="shared" si="22"/>
        <v>0</v>
      </c>
      <c r="AB159" s="126"/>
      <c r="AC159" s="295"/>
      <c r="AD159" s="295"/>
      <c r="AF159" s="359">
        <f t="shared" si="29"/>
        <v>0</v>
      </c>
    </row>
    <row r="160" spans="1:32" s="22" customFormat="1" ht="24.75" customHeight="1" outlineLevel="1" x14ac:dyDescent="0.2">
      <c r="A160" s="177">
        <v>157</v>
      </c>
      <c r="B160" s="325"/>
      <c r="C160" s="334"/>
      <c r="D160" s="334"/>
      <c r="E160" s="326"/>
      <c r="F160" s="327"/>
      <c r="G160" s="328"/>
      <c r="H160" s="329"/>
      <c r="I160" s="329"/>
      <c r="J160" s="330"/>
      <c r="K160" s="331">
        <f>(IF(OR($B160=0,$C160=0,$D160=0),0,IF(OR($E160=0,($G160+$F160=0),$H160=0),0,MIN((VLOOKUP($E160,$A$232:$C$241,3,0))*(IF($E160=6,$I160,$H160))*((MIN((VLOOKUP($E160,$A$232:$E$241,5,0)),(IF($E160=6,$H160,$I160))))),MIN((VLOOKUP($E160,$A$232:$C$241,3,0)),($F160+$G160))*(IF($E160=6,$I160,((MIN((VLOOKUP($E160,$A$232:$E$241,5,0)),$I160)))))))))*$J160</f>
        <v>0</v>
      </c>
      <c r="L160" s="332">
        <f t="shared" si="23"/>
        <v>0</v>
      </c>
      <c r="M160" s="333">
        <f t="shared" si="24"/>
        <v>0</v>
      </c>
      <c r="N160" s="277" t="str">
        <f>IF(E160&gt;0,MIN((VLOOKUP($E160,$A$232:$C$241,3,0)),($F160+$G160)),"")</f>
        <v/>
      </c>
      <c r="O160" s="273">
        <f>IF(E160=6,(MIN(VLOOKUP($E160,$A$232:$E$241,5,0),H160)),H160)</f>
        <v>0</v>
      </c>
      <c r="P160" s="272">
        <f>IF(E160=6,I160,IF(E160&gt;0,MIN((VLOOKUP($E160,$A$232:$E$241,5,0)),(I160)),0))*(1-$T$2)</f>
        <v>0</v>
      </c>
      <c r="Q160" s="62">
        <f t="shared" si="25"/>
        <v>0</v>
      </c>
      <c r="R160" s="274" t="str">
        <f t="shared" si="26"/>
        <v/>
      </c>
      <c r="S160" s="269">
        <f>(IF(OR($B160=0,$C160=0,$D160=0),0,IF(OR($E160=0,($G160+$F160=0),$H160=0),0,MIN((VLOOKUP($E160,$A$232:$C$241,3,0))*(IF($E160=6,$P160,$O160))*((MIN((VLOOKUP($E160,$A$232:$E$241,5,0)),(IF($E160=6,$O160,$P160))))),MIN((VLOOKUP($E160,$A$232:$C$241,3,0)),($F160+$G160))*(IF($E160=6,$P160,((MIN((VLOOKUP($E160,$A$232:$E$241,5,0)),$P160)))))))))*$Q160</f>
        <v>0</v>
      </c>
      <c r="T160" s="101">
        <f t="shared" si="27"/>
        <v>0</v>
      </c>
      <c r="U160" s="122"/>
      <c r="V160" s="300"/>
      <c r="W160" s="131">
        <f t="shared" si="30"/>
        <v>0</v>
      </c>
      <c r="X160" s="62">
        <f t="shared" si="28"/>
        <v>0</v>
      </c>
      <c r="Y160" s="63" t="str">
        <f t="shared" si="21"/>
        <v/>
      </c>
      <c r="Z160" s="133">
        <f>(IF(OR($B160=0,$C160=0,$D160=0),0,IF(OR($E160=0,($G160+$F160=0),$H160=0),0,MIN((VLOOKUP($E160,$A$232:$C$241,3,0))*(IF($E160=6,$W160,$O160))*((MIN((VLOOKUP($E160,$A$232:$E$241,5,0)),(IF($E160=6,$O160,$W160))))),MIN((VLOOKUP($E160,$A$232:$C$241,3,0)),($F160+$G160))*(IF($E160=6,$W160,((MIN((VLOOKUP($E160,$A$232:$E$241,5,0)),$W160)))))))))*$X160</f>
        <v>0</v>
      </c>
      <c r="AA160" s="139">
        <f t="shared" si="22"/>
        <v>0</v>
      </c>
      <c r="AB160" s="126"/>
      <c r="AC160" s="295"/>
      <c r="AD160" s="295"/>
      <c r="AF160" s="359">
        <f t="shared" si="29"/>
        <v>0</v>
      </c>
    </row>
    <row r="161" spans="1:32" s="22" customFormat="1" ht="24.75" customHeight="1" outlineLevel="1" x14ac:dyDescent="0.2">
      <c r="A161" s="177">
        <v>158</v>
      </c>
      <c r="B161" s="325"/>
      <c r="C161" s="334"/>
      <c r="D161" s="334"/>
      <c r="E161" s="326"/>
      <c r="F161" s="327"/>
      <c r="G161" s="328"/>
      <c r="H161" s="329"/>
      <c r="I161" s="329"/>
      <c r="J161" s="330"/>
      <c r="K161" s="331">
        <f>(IF(OR($B161=0,$C161=0,$D161=0),0,IF(OR($E161=0,($G161+$F161=0),$H161=0),0,MIN((VLOOKUP($E161,$A$232:$C$241,3,0))*(IF($E161=6,$I161,$H161))*((MIN((VLOOKUP($E161,$A$232:$E$241,5,0)),(IF($E161=6,$H161,$I161))))),MIN((VLOOKUP($E161,$A$232:$C$241,3,0)),($F161+$G161))*(IF($E161=6,$I161,((MIN((VLOOKUP($E161,$A$232:$E$241,5,0)),$I161)))))))))*$J161</f>
        <v>0</v>
      </c>
      <c r="L161" s="332">
        <f t="shared" si="23"/>
        <v>0</v>
      </c>
      <c r="M161" s="333">
        <f t="shared" si="24"/>
        <v>0</v>
      </c>
      <c r="N161" s="277" t="str">
        <f>IF(E161&gt;0,MIN((VLOOKUP($E161,$A$232:$C$241,3,0)),($F161+$G161)),"")</f>
        <v/>
      </c>
      <c r="O161" s="273">
        <f>IF(E161=6,(MIN(VLOOKUP($E161,$A$232:$E$241,5,0),H161)),H161)</f>
        <v>0</v>
      </c>
      <c r="P161" s="272">
        <f>IF(E161=6,I161,IF(E161&gt;0,MIN((VLOOKUP($E161,$A$232:$E$241,5,0)),(I161)),0))*(1-$T$2)</f>
        <v>0</v>
      </c>
      <c r="Q161" s="62">
        <f t="shared" si="25"/>
        <v>0</v>
      </c>
      <c r="R161" s="274" t="str">
        <f t="shared" si="26"/>
        <v/>
      </c>
      <c r="S161" s="269">
        <f>(IF(OR($B161=0,$C161=0,$D161=0),0,IF(OR($E161=0,($G161+$F161=0),$H161=0),0,MIN((VLOOKUP($E161,$A$232:$C$241,3,0))*(IF($E161=6,$P161,$O161))*((MIN((VLOOKUP($E161,$A$232:$E$241,5,0)),(IF($E161=6,$O161,$P161))))),MIN((VLOOKUP($E161,$A$232:$C$241,3,0)),($F161+$G161))*(IF($E161=6,$P161,((MIN((VLOOKUP($E161,$A$232:$E$241,5,0)),$P161)))))))))*$Q161</f>
        <v>0</v>
      </c>
      <c r="T161" s="101">
        <f t="shared" si="27"/>
        <v>0</v>
      </c>
      <c r="U161" s="122"/>
      <c r="V161" s="300"/>
      <c r="W161" s="131">
        <f t="shared" si="30"/>
        <v>0</v>
      </c>
      <c r="X161" s="62">
        <f t="shared" si="28"/>
        <v>0</v>
      </c>
      <c r="Y161" s="63" t="str">
        <f t="shared" si="21"/>
        <v/>
      </c>
      <c r="Z161" s="133">
        <f>(IF(OR($B161=0,$C161=0,$D161=0),0,IF(OR($E161=0,($G161+$F161=0),$H161=0),0,MIN((VLOOKUP($E161,$A$232:$C$241,3,0))*(IF($E161=6,$W161,$O161))*((MIN((VLOOKUP($E161,$A$232:$E$241,5,0)),(IF($E161=6,$O161,$W161))))),MIN((VLOOKUP($E161,$A$232:$C$241,3,0)),($F161+$G161))*(IF($E161=6,$W161,((MIN((VLOOKUP($E161,$A$232:$E$241,5,0)),$W161)))))))))*$X161</f>
        <v>0</v>
      </c>
      <c r="AA161" s="139">
        <f t="shared" si="22"/>
        <v>0</v>
      </c>
      <c r="AB161" s="126"/>
      <c r="AC161" s="295"/>
      <c r="AD161" s="295"/>
      <c r="AF161" s="359">
        <f t="shared" si="29"/>
        <v>0</v>
      </c>
    </row>
    <row r="162" spans="1:32" s="22" customFormat="1" ht="24.75" customHeight="1" outlineLevel="1" x14ac:dyDescent="0.2">
      <c r="A162" s="177">
        <v>159</v>
      </c>
      <c r="B162" s="325"/>
      <c r="C162" s="334"/>
      <c r="D162" s="334"/>
      <c r="E162" s="326"/>
      <c r="F162" s="327"/>
      <c r="G162" s="328"/>
      <c r="H162" s="329"/>
      <c r="I162" s="329"/>
      <c r="J162" s="330"/>
      <c r="K162" s="331">
        <f>(IF(OR($B162=0,$C162=0,$D162=0),0,IF(OR($E162=0,($G162+$F162=0),$H162=0),0,MIN((VLOOKUP($E162,$A$232:$C$241,3,0))*(IF($E162=6,$I162,$H162))*((MIN((VLOOKUP($E162,$A$232:$E$241,5,0)),(IF($E162=6,$H162,$I162))))),MIN((VLOOKUP($E162,$A$232:$C$241,3,0)),($F162+$G162))*(IF($E162=6,$I162,((MIN((VLOOKUP($E162,$A$232:$E$241,5,0)),$I162)))))))))*$J162</f>
        <v>0</v>
      </c>
      <c r="L162" s="332">
        <f t="shared" si="23"/>
        <v>0</v>
      </c>
      <c r="M162" s="333">
        <f t="shared" si="24"/>
        <v>0</v>
      </c>
      <c r="N162" s="277" t="str">
        <f>IF(E162&gt;0,MIN((VLOOKUP($E162,$A$232:$C$241,3,0)),($F162+$G162)),"")</f>
        <v/>
      </c>
      <c r="O162" s="273">
        <f>IF(E162=6,(MIN(VLOOKUP($E162,$A$232:$E$241,5,0),H162)),H162)</f>
        <v>0</v>
      </c>
      <c r="P162" s="272">
        <f>IF(E162=6,I162,IF(E162&gt;0,MIN((VLOOKUP($E162,$A$232:$E$241,5,0)),(I162)),0))*(1-$T$2)</f>
        <v>0</v>
      </c>
      <c r="Q162" s="62">
        <f t="shared" si="25"/>
        <v>0</v>
      </c>
      <c r="R162" s="274" t="str">
        <f t="shared" si="26"/>
        <v/>
      </c>
      <c r="S162" s="269">
        <f>(IF(OR($B162=0,$C162=0,$D162=0),0,IF(OR($E162=0,($G162+$F162=0),$H162=0),0,MIN((VLOOKUP($E162,$A$232:$C$241,3,0))*(IF($E162=6,$P162,$O162))*((MIN((VLOOKUP($E162,$A$232:$E$241,5,0)),(IF($E162=6,$O162,$P162))))),MIN((VLOOKUP($E162,$A$232:$C$241,3,0)),($F162+$G162))*(IF($E162=6,$P162,((MIN((VLOOKUP($E162,$A$232:$E$241,5,0)),$P162)))))))))*$Q162</f>
        <v>0</v>
      </c>
      <c r="T162" s="101">
        <f t="shared" si="27"/>
        <v>0</v>
      </c>
      <c r="U162" s="122"/>
      <c r="V162" s="300"/>
      <c r="W162" s="131">
        <f t="shared" si="30"/>
        <v>0</v>
      </c>
      <c r="X162" s="62">
        <f t="shared" si="28"/>
        <v>0</v>
      </c>
      <c r="Y162" s="63" t="str">
        <f t="shared" si="21"/>
        <v/>
      </c>
      <c r="Z162" s="133">
        <f>(IF(OR($B162=0,$C162=0,$D162=0),0,IF(OR($E162=0,($G162+$F162=0),$H162=0),0,MIN((VLOOKUP($E162,$A$232:$C$241,3,0))*(IF($E162=6,$W162,$O162))*((MIN((VLOOKUP($E162,$A$232:$E$241,5,0)),(IF($E162=6,$O162,$W162))))),MIN((VLOOKUP($E162,$A$232:$C$241,3,0)),($F162+$G162))*(IF($E162=6,$W162,((MIN((VLOOKUP($E162,$A$232:$E$241,5,0)),$W162)))))))))*$X162</f>
        <v>0</v>
      </c>
      <c r="AA162" s="139">
        <f t="shared" si="22"/>
        <v>0</v>
      </c>
      <c r="AB162" s="126"/>
      <c r="AC162" s="295"/>
      <c r="AD162" s="295"/>
      <c r="AF162" s="359">
        <f t="shared" si="29"/>
        <v>0</v>
      </c>
    </row>
    <row r="163" spans="1:32" s="22" customFormat="1" ht="24.75" customHeight="1" outlineLevel="1" x14ac:dyDescent="0.2">
      <c r="A163" s="177">
        <v>160</v>
      </c>
      <c r="B163" s="325"/>
      <c r="C163" s="334"/>
      <c r="D163" s="334"/>
      <c r="E163" s="326"/>
      <c r="F163" s="327"/>
      <c r="G163" s="328"/>
      <c r="H163" s="329"/>
      <c r="I163" s="329"/>
      <c r="J163" s="330"/>
      <c r="K163" s="331">
        <f>(IF(OR($B163=0,$C163=0,$D163=0),0,IF(OR($E163=0,($G163+$F163=0),$H163=0),0,MIN((VLOOKUP($E163,$A$232:$C$241,3,0))*(IF($E163=6,$I163,$H163))*((MIN((VLOOKUP($E163,$A$232:$E$241,5,0)),(IF($E163=6,$H163,$I163))))),MIN((VLOOKUP($E163,$A$232:$C$241,3,0)),($F163+$G163))*(IF($E163=6,$I163,((MIN((VLOOKUP($E163,$A$232:$E$241,5,0)),$I163)))))))))*$J163</f>
        <v>0</v>
      </c>
      <c r="L163" s="332">
        <f t="shared" si="23"/>
        <v>0</v>
      </c>
      <c r="M163" s="333">
        <f t="shared" si="24"/>
        <v>0</v>
      </c>
      <c r="N163" s="277" t="str">
        <f>IF(E163&gt;0,MIN((VLOOKUP($E163,$A$232:$C$241,3,0)),($F163+$G163)),"")</f>
        <v/>
      </c>
      <c r="O163" s="273">
        <f>IF(E163=6,(MIN(VLOOKUP($E163,$A$232:$E$241,5,0),H163)),H163)</f>
        <v>0</v>
      </c>
      <c r="P163" s="272">
        <f>IF(E163=6,I163,IF(E163&gt;0,MIN((VLOOKUP($E163,$A$232:$E$241,5,0)),(I163)),0))*(1-$T$2)</f>
        <v>0</v>
      </c>
      <c r="Q163" s="62">
        <f t="shared" si="25"/>
        <v>0</v>
      </c>
      <c r="R163" s="274" t="str">
        <f t="shared" si="26"/>
        <v/>
      </c>
      <c r="S163" s="269">
        <f>(IF(OR($B163=0,$C163=0,$D163=0),0,IF(OR($E163=0,($G163+$F163=0),$H163=0),0,MIN((VLOOKUP($E163,$A$232:$C$241,3,0))*(IF($E163=6,$P163,$O163))*((MIN((VLOOKUP($E163,$A$232:$E$241,5,0)),(IF($E163=6,$O163,$P163))))),MIN((VLOOKUP($E163,$A$232:$C$241,3,0)),($F163+$G163))*(IF($E163=6,$P163,((MIN((VLOOKUP($E163,$A$232:$E$241,5,0)),$P163)))))))))*$Q163</f>
        <v>0</v>
      </c>
      <c r="T163" s="101">
        <f t="shared" si="27"/>
        <v>0</v>
      </c>
      <c r="U163" s="122"/>
      <c r="V163" s="300"/>
      <c r="W163" s="131">
        <f t="shared" si="30"/>
        <v>0</v>
      </c>
      <c r="X163" s="62">
        <f t="shared" si="28"/>
        <v>0</v>
      </c>
      <c r="Y163" s="63" t="str">
        <f t="shared" si="21"/>
        <v/>
      </c>
      <c r="Z163" s="133">
        <f>(IF(OR($B163=0,$C163=0,$D163=0),0,IF(OR($E163=0,($G163+$F163=0),$H163=0),0,MIN((VLOOKUP($E163,$A$232:$C$241,3,0))*(IF($E163=6,$W163,$O163))*((MIN((VLOOKUP($E163,$A$232:$E$241,5,0)),(IF($E163=6,$O163,$W163))))),MIN((VLOOKUP($E163,$A$232:$C$241,3,0)),($F163+$G163))*(IF($E163=6,$W163,((MIN((VLOOKUP($E163,$A$232:$E$241,5,0)),$W163)))))))))*$X163</f>
        <v>0</v>
      </c>
      <c r="AA163" s="139">
        <f t="shared" si="22"/>
        <v>0</v>
      </c>
      <c r="AB163" s="126"/>
      <c r="AC163" s="295"/>
      <c r="AD163" s="295"/>
      <c r="AF163" s="359">
        <f t="shared" si="29"/>
        <v>0</v>
      </c>
    </row>
    <row r="164" spans="1:32" s="22" customFormat="1" ht="24.75" customHeight="1" outlineLevel="1" x14ac:dyDescent="0.2">
      <c r="A164" s="177">
        <v>161</v>
      </c>
      <c r="B164" s="325"/>
      <c r="C164" s="334"/>
      <c r="D164" s="334"/>
      <c r="E164" s="326"/>
      <c r="F164" s="327"/>
      <c r="G164" s="328"/>
      <c r="H164" s="329"/>
      <c r="I164" s="329"/>
      <c r="J164" s="330"/>
      <c r="K164" s="331">
        <f>(IF(OR($B164=0,$C164=0,$D164=0),0,IF(OR($E164=0,($G164+$F164=0),$H164=0),0,MIN((VLOOKUP($E164,$A$232:$C$241,3,0))*(IF($E164=6,$I164,$H164))*((MIN((VLOOKUP($E164,$A$232:$E$241,5,0)),(IF($E164=6,$H164,$I164))))),MIN((VLOOKUP($E164,$A$232:$C$241,3,0)),($F164+$G164))*(IF($E164=6,$I164,((MIN((VLOOKUP($E164,$A$232:$E$241,5,0)),$I164)))))))))*$J164</f>
        <v>0</v>
      </c>
      <c r="L164" s="332">
        <f t="shared" si="23"/>
        <v>0</v>
      </c>
      <c r="M164" s="333">
        <f t="shared" si="24"/>
        <v>0</v>
      </c>
      <c r="N164" s="277" t="str">
        <f>IF(E164&gt;0,MIN((VLOOKUP($E164,$A$232:$C$241,3,0)),($F164+$G164)),"")</f>
        <v/>
      </c>
      <c r="O164" s="273">
        <f>IF(E164=6,(MIN(VLOOKUP($E164,$A$232:$E$241,5,0),H164)),H164)</f>
        <v>0</v>
      </c>
      <c r="P164" s="272">
        <f>IF(E164=6,I164,IF(E164&gt;0,MIN((VLOOKUP($E164,$A$232:$E$241,5,0)),(I164)),0))*(1-$T$2)</f>
        <v>0</v>
      </c>
      <c r="Q164" s="62">
        <f t="shared" si="25"/>
        <v>0</v>
      </c>
      <c r="R164" s="274" t="str">
        <f t="shared" si="26"/>
        <v/>
      </c>
      <c r="S164" s="269">
        <f>(IF(OR($B164=0,$C164=0,$D164=0),0,IF(OR($E164=0,($G164+$F164=0),$H164=0),0,MIN((VLOOKUP($E164,$A$232:$C$241,3,0))*(IF($E164=6,$P164,$O164))*((MIN((VLOOKUP($E164,$A$232:$E$241,5,0)),(IF($E164=6,$O164,$P164))))),MIN((VLOOKUP($E164,$A$232:$C$241,3,0)),($F164+$G164))*(IF($E164=6,$P164,((MIN((VLOOKUP($E164,$A$232:$E$241,5,0)),$P164)))))))))*$Q164</f>
        <v>0</v>
      </c>
      <c r="T164" s="101">
        <f t="shared" si="27"/>
        <v>0</v>
      </c>
      <c r="U164" s="122"/>
      <c r="V164" s="300"/>
      <c r="W164" s="131">
        <f t="shared" si="30"/>
        <v>0</v>
      </c>
      <c r="X164" s="62">
        <f t="shared" si="28"/>
        <v>0</v>
      </c>
      <c r="Y164" s="63" t="str">
        <f t="shared" si="21"/>
        <v/>
      </c>
      <c r="Z164" s="133">
        <f>(IF(OR($B164=0,$C164=0,$D164=0),0,IF(OR($E164=0,($G164+$F164=0),$H164=0),0,MIN((VLOOKUP($E164,$A$232:$C$241,3,0))*(IF($E164=6,$W164,$O164))*((MIN((VLOOKUP($E164,$A$232:$E$241,5,0)),(IF($E164=6,$O164,$W164))))),MIN((VLOOKUP($E164,$A$232:$C$241,3,0)),($F164+$G164))*(IF($E164=6,$W164,((MIN((VLOOKUP($E164,$A$232:$E$241,5,0)),$W164)))))))))*$X164</f>
        <v>0</v>
      </c>
      <c r="AA164" s="139">
        <f t="shared" si="22"/>
        <v>0</v>
      </c>
      <c r="AB164" s="126"/>
      <c r="AC164" s="295"/>
      <c r="AD164" s="295"/>
      <c r="AF164" s="359">
        <f t="shared" si="29"/>
        <v>0</v>
      </c>
    </row>
    <row r="165" spans="1:32" s="22" customFormat="1" ht="24.75" customHeight="1" outlineLevel="1" x14ac:dyDescent="0.2">
      <c r="A165" s="177">
        <v>162</v>
      </c>
      <c r="B165" s="325"/>
      <c r="C165" s="334"/>
      <c r="D165" s="334"/>
      <c r="E165" s="326"/>
      <c r="F165" s="327"/>
      <c r="G165" s="328"/>
      <c r="H165" s="329"/>
      <c r="I165" s="329"/>
      <c r="J165" s="330"/>
      <c r="K165" s="331">
        <f>(IF(OR($B165=0,$C165=0,$D165=0),0,IF(OR($E165=0,($G165+$F165=0),$H165=0),0,MIN((VLOOKUP($E165,$A$232:$C$241,3,0))*(IF($E165=6,$I165,$H165))*((MIN((VLOOKUP($E165,$A$232:$E$241,5,0)),(IF($E165=6,$H165,$I165))))),MIN((VLOOKUP($E165,$A$232:$C$241,3,0)),($F165+$G165))*(IF($E165=6,$I165,((MIN((VLOOKUP($E165,$A$232:$E$241,5,0)),$I165)))))))))*$J165</f>
        <v>0</v>
      </c>
      <c r="L165" s="332">
        <f t="shared" si="23"/>
        <v>0</v>
      </c>
      <c r="M165" s="333">
        <f t="shared" si="24"/>
        <v>0</v>
      </c>
      <c r="N165" s="277" t="str">
        <f>IF(E165&gt;0,MIN((VLOOKUP($E165,$A$232:$C$241,3,0)),($F165+$G165)),"")</f>
        <v/>
      </c>
      <c r="O165" s="273">
        <f>IF(E165=6,(MIN(VLOOKUP($E165,$A$232:$E$241,5,0),H165)),H165)</f>
        <v>0</v>
      </c>
      <c r="P165" s="272">
        <f>IF(E165=6,I165,IF(E165&gt;0,MIN((VLOOKUP($E165,$A$232:$E$241,5,0)),(I165)),0))*(1-$T$2)</f>
        <v>0</v>
      </c>
      <c r="Q165" s="62">
        <f t="shared" si="25"/>
        <v>0</v>
      </c>
      <c r="R165" s="274" t="str">
        <f t="shared" si="26"/>
        <v/>
      </c>
      <c r="S165" s="269">
        <f>(IF(OR($B165=0,$C165=0,$D165=0),0,IF(OR($E165=0,($G165+$F165=0),$H165=0),0,MIN((VLOOKUP($E165,$A$232:$C$241,3,0))*(IF($E165=6,$P165,$O165))*((MIN((VLOOKUP($E165,$A$232:$E$241,5,0)),(IF($E165=6,$O165,$P165))))),MIN((VLOOKUP($E165,$A$232:$C$241,3,0)),($F165+$G165))*(IF($E165=6,$P165,((MIN((VLOOKUP($E165,$A$232:$E$241,5,0)),$P165)))))))))*$Q165</f>
        <v>0</v>
      </c>
      <c r="T165" s="101">
        <f t="shared" si="27"/>
        <v>0</v>
      </c>
      <c r="U165" s="122"/>
      <c r="V165" s="300"/>
      <c r="W165" s="131">
        <f t="shared" si="30"/>
        <v>0</v>
      </c>
      <c r="X165" s="62">
        <f t="shared" si="28"/>
        <v>0</v>
      </c>
      <c r="Y165" s="63" t="str">
        <f t="shared" si="21"/>
        <v/>
      </c>
      <c r="Z165" s="133">
        <f>(IF(OR($B165=0,$C165=0,$D165=0),0,IF(OR($E165=0,($G165+$F165=0),$H165=0),0,MIN((VLOOKUP($E165,$A$232:$C$241,3,0))*(IF($E165=6,$W165,$O165))*((MIN((VLOOKUP($E165,$A$232:$E$241,5,0)),(IF($E165=6,$O165,$W165))))),MIN((VLOOKUP($E165,$A$232:$C$241,3,0)),($F165+$G165))*(IF($E165=6,$W165,((MIN((VLOOKUP($E165,$A$232:$E$241,5,0)),$W165)))))))))*$X165</f>
        <v>0</v>
      </c>
      <c r="AA165" s="139">
        <f t="shared" si="22"/>
        <v>0</v>
      </c>
      <c r="AB165" s="126"/>
      <c r="AC165" s="295"/>
      <c r="AD165" s="295"/>
      <c r="AF165" s="359">
        <f t="shared" si="29"/>
        <v>0</v>
      </c>
    </row>
    <row r="166" spans="1:32" s="22" customFormat="1" ht="24.75" customHeight="1" outlineLevel="1" x14ac:dyDescent="0.2">
      <c r="A166" s="177">
        <v>163</v>
      </c>
      <c r="B166" s="325"/>
      <c r="C166" s="334"/>
      <c r="D166" s="334"/>
      <c r="E166" s="326"/>
      <c r="F166" s="327"/>
      <c r="G166" s="328"/>
      <c r="H166" s="329"/>
      <c r="I166" s="329"/>
      <c r="J166" s="330"/>
      <c r="K166" s="331">
        <f>(IF(OR($B166=0,$C166=0,$D166=0),0,IF(OR($E166=0,($G166+$F166=0),$H166=0),0,MIN((VLOOKUP($E166,$A$232:$C$241,3,0))*(IF($E166=6,$I166,$H166))*((MIN((VLOOKUP($E166,$A$232:$E$241,5,0)),(IF($E166=6,$H166,$I166))))),MIN((VLOOKUP($E166,$A$232:$C$241,3,0)),($F166+$G166))*(IF($E166=6,$I166,((MIN((VLOOKUP($E166,$A$232:$E$241,5,0)),$I166)))))))))*$J166</f>
        <v>0</v>
      </c>
      <c r="L166" s="332">
        <f t="shared" si="23"/>
        <v>0</v>
      </c>
      <c r="M166" s="333">
        <f t="shared" si="24"/>
        <v>0</v>
      </c>
      <c r="N166" s="277" t="str">
        <f>IF(E166&gt;0,MIN((VLOOKUP($E166,$A$232:$C$241,3,0)),($F166+$G166)),"")</f>
        <v/>
      </c>
      <c r="O166" s="273">
        <f>IF(E166=6,(MIN(VLOOKUP($E166,$A$232:$E$241,5,0),H166)),H166)</f>
        <v>0</v>
      </c>
      <c r="P166" s="272">
        <f>IF(E166=6,I166,IF(E166&gt;0,MIN((VLOOKUP($E166,$A$232:$E$241,5,0)),(I166)),0))*(1-$T$2)</f>
        <v>0</v>
      </c>
      <c r="Q166" s="62">
        <f t="shared" si="25"/>
        <v>0</v>
      </c>
      <c r="R166" s="274" t="str">
        <f t="shared" si="26"/>
        <v/>
      </c>
      <c r="S166" s="269">
        <f>(IF(OR($B166=0,$C166=0,$D166=0),0,IF(OR($E166=0,($G166+$F166=0),$H166=0),0,MIN((VLOOKUP($E166,$A$232:$C$241,3,0))*(IF($E166=6,$P166,$O166))*((MIN((VLOOKUP($E166,$A$232:$E$241,5,0)),(IF($E166=6,$O166,$P166))))),MIN((VLOOKUP($E166,$A$232:$C$241,3,0)),($F166+$G166))*(IF($E166=6,$P166,((MIN((VLOOKUP($E166,$A$232:$E$241,5,0)),$P166)))))))))*$Q166</f>
        <v>0</v>
      </c>
      <c r="T166" s="101">
        <f t="shared" si="27"/>
        <v>0</v>
      </c>
      <c r="U166" s="122"/>
      <c r="V166" s="300"/>
      <c r="W166" s="131">
        <f t="shared" si="30"/>
        <v>0</v>
      </c>
      <c r="X166" s="62">
        <f t="shared" si="28"/>
        <v>0</v>
      </c>
      <c r="Y166" s="63" t="str">
        <f t="shared" si="21"/>
        <v/>
      </c>
      <c r="Z166" s="133">
        <f>(IF(OR($B166=0,$C166=0,$D166=0),0,IF(OR($E166=0,($G166+$F166=0),$H166=0),0,MIN((VLOOKUP($E166,$A$232:$C$241,3,0))*(IF($E166=6,$W166,$O166))*((MIN((VLOOKUP($E166,$A$232:$E$241,5,0)),(IF($E166=6,$O166,$W166))))),MIN((VLOOKUP($E166,$A$232:$C$241,3,0)),($F166+$G166))*(IF($E166=6,$W166,((MIN((VLOOKUP($E166,$A$232:$E$241,5,0)),$W166)))))))))*$X166</f>
        <v>0</v>
      </c>
      <c r="AA166" s="139">
        <f t="shared" si="22"/>
        <v>0</v>
      </c>
      <c r="AB166" s="126"/>
      <c r="AC166" s="295"/>
      <c r="AD166" s="295"/>
      <c r="AF166" s="359">
        <f t="shared" si="29"/>
        <v>0</v>
      </c>
    </row>
    <row r="167" spans="1:32" s="22" customFormat="1" ht="24.75" customHeight="1" outlineLevel="1" x14ac:dyDescent="0.2">
      <c r="A167" s="177">
        <v>164</v>
      </c>
      <c r="B167" s="325"/>
      <c r="C167" s="334"/>
      <c r="D167" s="334"/>
      <c r="E167" s="326"/>
      <c r="F167" s="327"/>
      <c r="G167" s="328"/>
      <c r="H167" s="329"/>
      <c r="I167" s="329"/>
      <c r="J167" s="330"/>
      <c r="K167" s="331">
        <f>(IF(OR($B167=0,$C167=0,$D167=0),0,IF(OR($E167=0,($G167+$F167=0),$H167=0),0,MIN((VLOOKUP($E167,$A$232:$C$241,3,0))*(IF($E167=6,$I167,$H167))*((MIN((VLOOKUP($E167,$A$232:$E$241,5,0)),(IF($E167=6,$H167,$I167))))),MIN((VLOOKUP($E167,$A$232:$C$241,3,0)),($F167+$G167))*(IF($E167=6,$I167,((MIN((VLOOKUP($E167,$A$232:$E$241,5,0)),$I167)))))))))*$J167</f>
        <v>0</v>
      </c>
      <c r="L167" s="332">
        <f t="shared" si="23"/>
        <v>0</v>
      </c>
      <c r="M167" s="333">
        <f t="shared" si="24"/>
        <v>0</v>
      </c>
      <c r="N167" s="277" t="str">
        <f>IF(E167&gt;0,MIN((VLOOKUP($E167,$A$232:$C$241,3,0)),($F167+$G167)),"")</f>
        <v/>
      </c>
      <c r="O167" s="273">
        <f>IF(E167=6,(MIN(VLOOKUP($E167,$A$232:$E$241,5,0),H167)),H167)</f>
        <v>0</v>
      </c>
      <c r="P167" s="272">
        <f>IF(E167=6,I167,IF(E167&gt;0,MIN((VLOOKUP($E167,$A$232:$E$241,5,0)),(I167)),0))*(1-$T$2)</f>
        <v>0</v>
      </c>
      <c r="Q167" s="62">
        <f t="shared" si="25"/>
        <v>0</v>
      </c>
      <c r="R167" s="274" t="str">
        <f t="shared" si="26"/>
        <v/>
      </c>
      <c r="S167" s="269">
        <f>(IF(OR($B167=0,$C167=0,$D167=0),0,IF(OR($E167=0,($G167+$F167=0),$H167=0),0,MIN((VLOOKUP($E167,$A$232:$C$241,3,0))*(IF($E167=6,$P167,$O167))*((MIN((VLOOKUP($E167,$A$232:$E$241,5,0)),(IF($E167=6,$O167,$P167))))),MIN((VLOOKUP($E167,$A$232:$C$241,3,0)),($F167+$G167))*(IF($E167=6,$P167,((MIN((VLOOKUP($E167,$A$232:$E$241,5,0)),$P167)))))))))*$Q167</f>
        <v>0</v>
      </c>
      <c r="T167" s="101">
        <f t="shared" si="27"/>
        <v>0</v>
      </c>
      <c r="U167" s="122"/>
      <c r="V167" s="300"/>
      <c r="W167" s="131">
        <f t="shared" si="30"/>
        <v>0</v>
      </c>
      <c r="X167" s="62">
        <f t="shared" si="28"/>
        <v>0</v>
      </c>
      <c r="Y167" s="63" t="str">
        <f t="shared" si="21"/>
        <v/>
      </c>
      <c r="Z167" s="133">
        <f>(IF(OR($B167=0,$C167=0,$D167=0),0,IF(OR($E167=0,($G167+$F167=0),$H167=0),0,MIN((VLOOKUP($E167,$A$232:$C$241,3,0))*(IF($E167=6,$W167,$O167))*((MIN((VLOOKUP($E167,$A$232:$E$241,5,0)),(IF($E167=6,$O167,$W167))))),MIN((VLOOKUP($E167,$A$232:$C$241,3,0)),($F167+$G167))*(IF($E167=6,$W167,((MIN((VLOOKUP($E167,$A$232:$E$241,5,0)),$W167)))))))))*$X167</f>
        <v>0</v>
      </c>
      <c r="AA167" s="139">
        <f t="shared" si="22"/>
        <v>0</v>
      </c>
      <c r="AB167" s="126"/>
      <c r="AC167" s="295"/>
      <c r="AD167" s="295"/>
      <c r="AF167" s="359">
        <f t="shared" si="29"/>
        <v>0</v>
      </c>
    </row>
    <row r="168" spans="1:32" s="22" customFormat="1" ht="24.75" customHeight="1" outlineLevel="1" x14ac:dyDescent="0.2">
      <c r="A168" s="177">
        <v>165</v>
      </c>
      <c r="B168" s="325"/>
      <c r="C168" s="334"/>
      <c r="D168" s="334"/>
      <c r="E168" s="326"/>
      <c r="F168" s="327"/>
      <c r="G168" s="328"/>
      <c r="H168" s="329"/>
      <c r="I168" s="329"/>
      <c r="J168" s="330"/>
      <c r="K168" s="331">
        <f>(IF(OR($B168=0,$C168=0,$D168=0),0,IF(OR($E168=0,($G168+$F168=0),$H168=0),0,MIN((VLOOKUP($E168,$A$232:$C$241,3,0))*(IF($E168=6,$I168,$H168))*((MIN((VLOOKUP($E168,$A$232:$E$241,5,0)),(IF($E168=6,$H168,$I168))))),MIN((VLOOKUP($E168,$A$232:$C$241,3,0)),($F168+$G168))*(IF($E168=6,$I168,((MIN((VLOOKUP($E168,$A$232:$E$241,5,0)),$I168)))))))))*$J168</f>
        <v>0</v>
      </c>
      <c r="L168" s="332">
        <f t="shared" si="23"/>
        <v>0</v>
      </c>
      <c r="M168" s="333">
        <f t="shared" si="24"/>
        <v>0</v>
      </c>
      <c r="N168" s="277" t="str">
        <f>IF(E168&gt;0,MIN((VLOOKUP($E168,$A$232:$C$241,3,0)),($F168+$G168)),"")</f>
        <v/>
      </c>
      <c r="O168" s="273">
        <f>IF(E168=6,(MIN(VLOOKUP($E168,$A$232:$E$241,5,0),H168)),H168)</f>
        <v>0</v>
      </c>
      <c r="P168" s="272">
        <f>IF(E168=6,I168,IF(E168&gt;0,MIN((VLOOKUP($E168,$A$232:$E$241,5,0)),(I168)),0))*(1-$T$2)</f>
        <v>0</v>
      </c>
      <c r="Q168" s="62">
        <f t="shared" si="25"/>
        <v>0</v>
      </c>
      <c r="R168" s="274" t="str">
        <f t="shared" si="26"/>
        <v/>
      </c>
      <c r="S168" s="269">
        <f>(IF(OR($B168=0,$C168=0,$D168=0),0,IF(OR($E168=0,($G168+$F168=0),$H168=0),0,MIN((VLOOKUP($E168,$A$232:$C$241,3,0))*(IF($E168=6,$P168,$O168))*((MIN((VLOOKUP($E168,$A$232:$E$241,5,0)),(IF($E168=6,$O168,$P168))))),MIN((VLOOKUP($E168,$A$232:$C$241,3,0)),($F168+$G168))*(IF($E168=6,$P168,((MIN((VLOOKUP($E168,$A$232:$E$241,5,0)),$P168)))))))))*$Q168</f>
        <v>0</v>
      </c>
      <c r="T168" s="101">
        <f t="shared" si="27"/>
        <v>0</v>
      </c>
      <c r="U168" s="122"/>
      <c r="V168" s="300"/>
      <c r="W168" s="131">
        <f t="shared" si="30"/>
        <v>0</v>
      </c>
      <c r="X168" s="62">
        <f t="shared" si="28"/>
        <v>0</v>
      </c>
      <c r="Y168" s="63" t="str">
        <f t="shared" si="21"/>
        <v/>
      </c>
      <c r="Z168" s="133">
        <f>(IF(OR($B168=0,$C168=0,$D168=0),0,IF(OR($E168=0,($G168+$F168=0),$H168=0),0,MIN((VLOOKUP($E168,$A$232:$C$241,3,0))*(IF($E168=6,$W168,$O168))*((MIN((VLOOKUP($E168,$A$232:$E$241,5,0)),(IF($E168=6,$O168,$W168))))),MIN((VLOOKUP($E168,$A$232:$C$241,3,0)),($F168+$G168))*(IF($E168=6,$W168,((MIN((VLOOKUP($E168,$A$232:$E$241,5,0)),$W168)))))))))*$X168</f>
        <v>0</v>
      </c>
      <c r="AA168" s="139">
        <f t="shared" si="22"/>
        <v>0</v>
      </c>
      <c r="AB168" s="126"/>
      <c r="AC168" s="295"/>
      <c r="AD168" s="295"/>
      <c r="AF168" s="359">
        <f t="shared" si="29"/>
        <v>0</v>
      </c>
    </row>
    <row r="169" spans="1:32" s="22" customFormat="1" ht="24.75" customHeight="1" outlineLevel="1" x14ac:dyDescent="0.2">
      <c r="A169" s="177">
        <v>166</v>
      </c>
      <c r="B169" s="325"/>
      <c r="C169" s="334"/>
      <c r="D169" s="334"/>
      <c r="E169" s="326"/>
      <c r="F169" s="327"/>
      <c r="G169" s="328"/>
      <c r="H169" s="329"/>
      <c r="I169" s="329"/>
      <c r="J169" s="330"/>
      <c r="K169" s="331">
        <f>(IF(OR($B169=0,$C169=0,$D169=0),0,IF(OR($E169=0,($G169+$F169=0),$H169=0),0,MIN((VLOOKUP($E169,$A$232:$C$241,3,0))*(IF($E169=6,$I169,$H169))*((MIN((VLOOKUP($E169,$A$232:$E$241,5,0)),(IF($E169=6,$H169,$I169))))),MIN((VLOOKUP($E169,$A$232:$C$241,3,0)),($F169+$G169))*(IF($E169=6,$I169,((MIN((VLOOKUP($E169,$A$232:$E$241,5,0)),$I169)))))))))*$J169</f>
        <v>0</v>
      </c>
      <c r="L169" s="332">
        <f t="shared" si="23"/>
        <v>0</v>
      </c>
      <c r="M169" s="333">
        <f t="shared" si="24"/>
        <v>0</v>
      </c>
      <c r="N169" s="277" t="str">
        <f>IF(E169&gt;0,MIN((VLOOKUP($E169,$A$232:$C$241,3,0)),($F169+$G169)),"")</f>
        <v/>
      </c>
      <c r="O169" s="273">
        <f>IF(E169=6,(MIN(VLOOKUP($E169,$A$232:$E$241,5,0),H169)),H169)</f>
        <v>0</v>
      </c>
      <c r="P169" s="272">
        <f>IF(E169=6,I169,IF(E169&gt;0,MIN((VLOOKUP($E169,$A$232:$E$241,5,0)),(I169)),0))*(1-$T$2)</f>
        <v>0</v>
      </c>
      <c r="Q169" s="62">
        <f t="shared" si="25"/>
        <v>0</v>
      </c>
      <c r="R169" s="274" t="str">
        <f t="shared" si="26"/>
        <v/>
      </c>
      <c r="S169" s="269">
        <f>(IF(OR($B169=0,$C169=0,$D169=0),0,IF(OR($E169=0,($G169+$F169=0),$H169=0),0,MIN((VLOOKUP($E169,$A$232:$C$241,3,0))*(IF($E169=6,$P169,$O169))*((MIN((VLOOKUP($E169,$A$232:$E$241,5,0)),(IF($E169=6,$O169,$P169))))),MIN((VLOOKUP($E169,$A$232:$C$241,3,0)),($F169+$G169))*(IF($E169=6,$P169,((MIN((VLOOKUP($E169,$A$232:$E$241,5,0)),$P169)))))))))*$Q169</f>
        <v>0</v>
      </c>
      <c r="T169" s="101">
        <f t="shared" si="27"/>
        <v>0</v>
      </c>
      <c r="U169" s="122"/>
      <c r="V169" s="300"/>
      <c r="W169" s="131">
        <f t="shared" si="30"/>
        <v>0</v>
      </c>
      <c r="X169" s="62">
        <f t="shared" si="28"/>
        <v>0</v>
      </c>
      <c r="Y169" s="63" t="str">
        <f t="shared" si="21"/>
        <v/>
      </c>
      <c r="Z169" s="133">
        <f>(IF(OR($B169=0,$C169=0,$D169=0),0,IF(OR($E169=0,($G169+$F169=0),$H169=0),0,MIN((VLOOKUP($E169,$A$232:$C$241,3,0))*(IF($E169=6,$W169,$O169))*((MIN((VLOOKUP($E169,$A$232:$E$241,5,0)),(IF($E169=6,$O169,$W169))))),MIN((VLOOKUP($E169,$A$232:$C$241,3,0)),($F169+$G169))*(IF($E169=6,$W169,((MIN((VLOOKUP($E169,$A$232:$E$241,5,0)),$W169)))))))))*$X169</f>
        <v>0</v>
      </c>
      <c r="AA169" s="139">
        <f t="shared" si="22"/>
        <v>0</v>
      </c>
      <c r="AB169" s="126"/>
      <c r="AC169" s="295"/>
      <c r="AD169" s="295"/>
      <c r="AF169" s="359">
        <f t="shared" si="29"/>
        <v>0</v>
      </c>
    </row>
    <row r="170" spans="1:32" s="22" customFormat="1" ht="24.75" customHeight="1" outlineLevel="1" x14ac:dyDescent="0.2">
      <c r="A170" s="177">
        <v>167</v>
      </c>
      <c r="B170" s="325"/>
      <c r="C170" s="334"/>
      <c r="D170" s="334"/>
      <c r="E170" s="326"/>
      <c r="F170" s="327"/>
      <c r="G170" s="328"/>
      <c r="H170" s="329"/>
      <c r="I170" s="329"/>
      <c r="J170" s="330"/>
      <c r="K170" s="331">
        <f>(IF(OR($B170=0,$C170=0,$D170=0),0,IF(OR($E170=0,($G170+$F170=0),$H170=0),0,MIN((VLOOKUP($E170,$A$232:$C$241,3,0))*(IF($E170=6,$I170,$H170))*((MIN((VLOOKUP($E170,$A$232:$E$241,5,0)),(IF($E170=6,$H170,$I170))))),MIN((VLOOKUP($E170,$A$232:$C$241,3,0)),($F170+$G170))*(IF($E170=6,$I170,((MIN((VLOOKUP($E170,$A$232:$E$241,5,0)),$I170)))))))))*$J170</f>
        <v>0</v>
      </c>
      <c r="L170" s="332">
        <f t="shared" si="23"/>
        <v>0</v>
      </c>
      <c r="M170" s="333">
        <f t="shared" si="24"/>
        <v>0</v>
      </c>
      <c r="N170" s="277" t="str">
        <f>IF(E170&gt;0,MIN((VLOOKUP($E170,$A$232:$C$241,3,0)),($F170+$G170)),"")</f>
        <v/>
      </c>
      <c r="O170" s="273">
        <f>IF(E170=6,(MIN(VLOOKUP($E170,$A$232:$E$241,5,0),H170)),H170)</f>
        <v>0</v>
      </c>
      <c r="P170" s="272">
        <f>IF(E170=6,I170,IF(E170&gt;0,MIN((VLOOKUP($E170,$A$232:$E$241,5,0)),(I170)),0))*(1-$T$2)</f>
        <v>0</v>
      </c>
      <c r="Q170" s="62">
        <f t="shared" si="25"/>
        <v>0</v>
      </c>
      <c r="R170" s="274" t="str">
        <f t="shared" si="26"/>
        <v/>
      </c>
      <c r="S170" s="269">
        <f>(IF(OR($B170=0,$C170=0,$D170=0),0,IF(OR($E170=0,($G170+$F170=0),$H170=0),0,MIN((VLOOKUP($E170,$A$232:$C$241,3,0))*(IF($E170=6,$P170,$O170))*((MIN((VLOOKUP($E170,$A$232:$E$241,5,0)),(IF($E170=6,$O170,$P170))))),MIN((VLOOKUP($E170,$A$232:$C$241,3,0)),($F170+$G170))*(IF($E170=6,$P170,((MIN((VLOOKUP($E170,$A$232:$E$241,5,0)),$P170)))))))))*$Q170</f>
        <v>0</v>
      </c>
      <c r="T170" s="101">
        <f t="shared" si="27"/>
        <v>0</v>
      </c>
      <c r="U170" s="122"/>
      <c r="V170" s="300"/>
      <c r="W170" s="131">
        <f t="shared" si="30"/>
        <v>0</v>
      </c>
      <c r="X170" s="62">
        <f t="shared" si="28"/>
        <v>0</v>
      </c>
      <c r="Y170" s="63" t="str">
        <f t="shared" si="21"/>
        <v/>
      </c>
      <c r="Z170" s="133">
        <f>(IF(OR($B170=0,$C170=0,$D170=0),0,IF(OR($E170=0,($G170+$F170=0),$H170=0),0,MIN((VLOOKUP($E170,$A$232:$C$241,3,0))*(IF($E170=6,$W170,$O170))*((MIN((VLOOKUP($E170,$A$232:$E$241,5,0)),(IF($E170=6,$O170,$W170))))),MIN((VLOOKUP($E170,$A$232:$C$241,3,0)),($F170+$G170))*(IF($E170=6,$W170,((MIN((VLOOKUP($E170,$A$232:$E$241,5,0)),$W170)))))))))*$X170</f>
        <v>0</v>
      </c>
      <c r="AA170" s="139">
        <f t="shared" si="22"/>
        <v>0</v>
      </c>
      <c r="AB170" s="126"/>
      <c r="AC170" s="295"/>
      <c r="AD170" s="295"/>
      <c r="AF170" s="359">
        <f t="shared" si="29"/>
        <v>0</v>
      </c>
    </row>
    <row r="171" spans="1:32" s="22" customFormat="1" ht="24.75" customHeight="1" outlineLevel="1" x14ac:dyDescent="0.2">
      <c r="A171" s="177">
        <v>168</v>
      </c>
      <c r="B171" s="325"/>
      <c r="C171" s="334"/>
      <c r="D171" s="334"/>
      <c r="E171" s="326"/>
      <c r="F171" s="327"/>
      <c r="G171" s="328"/>
      <c r="H171" s="329"/>
      <c r="I171" s="329"/>
      <c r="J171" s="330"/>
      <c r="K171" s="331">
        <f>(IF(OR($B171=0,$C171=0,$D171=0),0,IF(OR($E171=0,($G171+$F171=0),$H171=0),0,MIN((VLOOKUP($E171,$A$232:$C$241,3,0))*(IF($E171=6,$I171,$H171))*((MIN((VLOOKUP($E171,$A$232:$E$241,5,0)),(IF($E171=6,$H171,$I171))))),MIN((VLOOKUP($E171,$A$232:$C$241,3,0)),($F171+$G171))*(IF($E171=6,$I171,((MIN((VLOOKUP($E171,$A$232:$E$241,5,0)),$I171)))))))))*$J171</f>
        <v>0</v>
      </c>
      <c r="L171" s="332">
        <f t="shared" si="23"/>
        <v>0</v>
      </c>
      <c r="M171" s="333">
        <f t="shared" si="24"/>
        <v>0</v>
      </c>
      <c r="N171" s="277" t="str">
        <f>IF(E171&gt;0,MIN((VLOOKUP($E171,$A$232:$C$241,3,0)),($F171+$G171)),"")</f>
        <v/>
      </c>
      <c r="O171" s="273">
        <f>IF(E171=6,(MIN(VLOOKUP($E171,$A$232:$E$241,5,0),H171)),H171)</f>
        <v>0</v>
      </c>
      <c r="P171" s="272">
        <f>IF(E171=6,I171,IF(E171&gt;0,MIN((VLOOKUP($E171,$A$232:$E$241,5,0)),(I171)),0))*(1-$T$2)</f>
        <v>0</v>
      </c>
      <c r="Q171" s="62">
        <f t="shared" si="25"/>
        <v>0</v>
      </c>
      <c r="R171" s="274" t="str">
        <f t="shared" si="26"/>
        <v/>
      </c>
      <c r="S171" s="269">
        <f>(IF(OR($B171=0,$C171=0,$D171=0),0,IF(OR($E171=0,($G171+$F171=0),$H171=0),0,MIN((VLOOKUP($E171,$A$232:$C$241,3,0))*(IF($E171=6,$P171,$O171))*((MIN((VLOOKUP($E171,$A$232:$E$241,5,0)),(IF($E171=6,$O171,$P171))))),MIN((VLOOKUP($E171,$A$232:$C$241,3,0)),($F171+$G171))*(IF($E171=6,$P171,((MIN((VLOOKUP($E171,$A$232:$E$241,5,0)),$P171)))))))))*$Q171</f>
        <v>0</v>
      </c>
      <c r="T171" s="101">
        <f t="shared" si="27"/>
        <v>0</v>
      </c>
      <c r="U171" s="122"/>
      <c r="V171" s="300"/>
      <c r="W171" s="131">
        <f t="shared" si="30"/>
        <v>0</v>
      </c>
      <c r="X171" s="62">
        <f t="shared" si="28"/>
        <v>0</v>
      </c>
      <c r="Y171" s="63" t="str">
        <f t="shared" si="21"/>
        <v/>
      </c>
      <c r="Z171" s="133">
        <f>(IF(OR($B171=0,$C171=0,$D171=0),0,IF(OR($E171=0,($G171+$F171=0),$H171=0),0,MIN((VLOOKUP($E171,$A$232:$C$241,3,0))*(IF($E171=6,$W171,$O171))*((MIN((VLOOKUP($E171,$A$232:$E$241,5,0)),(IF($E171=6,$O171,$W171))))),MIN((VLOOKUP($E171,$A$232:$C$241,3,0)),($F171+$G171))*(IF($E171=6,$W171,((MIN((VLOOKUP($E171,$A$232:$E$241,5,0)),$W171)))))))))*$X171</f>
        <v>0</v>
      </c>
      <c r="AA171" s="139">
        <f t="shared" si="22"/>
        <v>0</v>
      </c>
      <c r="AB171" s="126"/>
      <c r="AC171" s="295"/>
      <c r="AD171" s="295"/>
      <c r="AF171" s="359">
        <f t="shared" si="29"/>
        <v>0</v>
      </c>
    </row>
    <row r="172" spans="1:32" s="22" customFormat="1" ht="24.75" customHeight="1" outlineLevel="1" x14ac:dyDescent="0.2">
      <c r="A172" s="177">
        <v>169</v>
      </c>
      <c r="B172" s="325"/>
      <c r="C172" s="334"/>
      <c r="D172" s="334"/>
      <c r="E172" s="326"/>
      <c r="F172" s="327"/>
      <c r="G172" s="328"/>
      <c r="H172" s="329"/>
      <c r="I172" s="329"/>
      <c r="J172" s="330"/>
      <c r="K172" s="331">
        <f>(IF(OR($B172=0,$C172=0,$D172=0),0,IF(OR($E172=0,($G172+$F172=0),$H172=0),0,MIN((VLOOKUP($E172,$A$232:$C$241,3,0))*(IF($E172=6,$I172,$H172))*((MIN((VLOOKUP($E172,$A$232:$E$241,5,0)),(IF($E172=6,$H172,$I172))))),MIN((VLOOKUP($E172,$A$232:$C$241,3,0)),($F172+$G172))*(IF($E172=6,$I172,((MIN((VLOOKUP($E172,$A$232:$E$241,5,0)),$I172)))))))))*$J172</f>
        <v>0</v>
      </c>
      <c r="L172" s="332">
        <f t="shared" si="23"/>
        <v>0</v>
      </c>
      <c r="M172" s="333">
        <f t="shared" si="24"/>
        <v>0</v>
      </c>
      <c r="N172" s="277" t="str">
        <f>IF(E172&gt;0,MIN((VLOOKUP($E172,$A$232:$C$241,3,0)),($F172+$G172)),"")</f>
        <v/>
      </c>
      <c r="O172" s="273">
        <f>IF(E172=6,(MIN(VLOOKUP($E172,$A$232:$E$241,5,0),H172)),H172)</f>
        <v>0</v>
      </c>
      <c r="P172" s="272">
        <f>IF(E172=6,I172,IF(E172&gt;0,MIN((VLOOKUP($E172,$A$232:$E$241,5,0)),(I172)),0))*(1-$T$2)</f>
        <v>0</v>
      </c>
      <c r="Q172" s="62">
        <f t="shared" si="25"/>
        <v>0</v>
      </c>
      <c r="R172" s="274" t="str">
        <f t="shared" si="26"/>
        <v/>
      </c>
      <c r="S172" s="269">
        <f>(IF(OR($B172=0,$C172=0,$D172=0),0,IF(OR($E172=0,($G172+$F172=0),$H172=0),0,MIN((VLOOKUP($E172,$A$232:$C$241,3,0))*(IF($E172=6,$P172,$O172))*((MIN((VLOOKUP($E172,$A$232:$E$241,5,0)),(IF($E172=6,$O172,$P172))))),MIN((VLOOKUP($E172,$A$232:$C$241,3,0)),($F172+$G172))*(IF($E172=6,$P172,((MIN((VLOOKUP($E172,$A$232:$E$241,5,0)),$P172)))))))))*$Q172</f>
        <v>0</v>
      </c>
      <c r="T172" s="101">
        <f t="shared" si="27"/>
        <v>0</v>
      </c>
      <c r="U172" s="122"/>
      <c r="V172" s="300"/>
      <c r="W172" s="131">
        <f t="shared" si="30"/>
        <v>0</v>
      </c>
      <c r="X172" s="62">
        <f t="shared" si="28"/>
        <v>0</v>
      </c>
      <c r="Y172" s="63" t="str">
        <f t="shared" si="21"/>
        <v/>
      </c>
      <c r="Z172" s="133">
        <f>(IF(OR($B172=0,$C172=0,$D172=0),0,IF(OR($E172=0,($G172+$F172=0),$H172=0),0,MIN((VLOOKUP($E172,$A$232:$C$241,3,0))*(IF($E172=6,$W172,$O172))*((MIN((VLOOKUP($E172,$A$232:$E$241,5,0)),(IF($E172=6,$O172,$W172))))),MIN((VLOOKUP($E172,$A$232:$C$241,3,0)),($F172+$G172))*(IF($E172=6,$W172,((MIN((VLOOKUP($E172,$A$232:$E$241,5,0)),$W172)))))))))*$X172</f>
        <v>0</v>
      </c>
      <c r="AA172" s="139">
        <f t="shared" si="22"/>
        <v>0</v>
      </c>
      <c r="AB172" s="126"/>
      <c r="AC172" s="295"/>
      <c r="AD172" s="295"/>
      <c r="AF172" s="359">
        <f t="shared" si="29"/>
        <v>0</v>
      </c>
    </row>
    <row r="173" spans="1:32" s="22" customFormat="1" ht="24.75" customHeight="1" outlineLevel="1" x14ac:dyDescent="0.2">
      <c r="A173" s="177">
        <v>170</v>
      </c>
      <c r="B173" s="325"/>
      <c r="C173" s="334"/>
      <c r="D173" s="334"/>
      <c r="E173" s="326"/>
      <c r="F173" s="327"/>
      <c r="G173" s="328"/>
      <c r="H173" s="329"/>
      <c r="I173" s="329"/>
      <c r="J173" s="330"/>
      <c r="K173" s="331">
        <f>(IF(OR($B173=0,$C173=0,$D173=0),0,IF(OR($E173=0,($G173+$F173=0),$H173=0),0,MIN((VLOOKUP($E173,$A$232:$C$241,3,0))*(IF($E173=6,$I173,$H173))*((MIN((VLOOKUP($E173,$A$232:$E$241,5,0)),(IF($E173=6,$H173,$I173))))),MIN((VLOOKUP($E173,$A$232:$C$241,3,0)),($F173+$G173))*(IF($E173=6,$I173,((MIN((VLOOKUP($E173,$A$232:$E$241,5,0)),$I173)))))))))*$J173</f>
        <v>0</v>
      </c>
      <c r="L173" s="332">
        <f t="shared" si="23"/>
        <v>0</v>
      </c>
      <c r="M173" s="333">
        <f t="shared" si="24"/>
        <v>0</v>
      </c>
      <c r="N173" s="277" t="str">
        <f>IF(E173&gt;0,MIN((VLOOKUP($E173,$A$232:$C$241,3,0)),($F173+$G173)),"")</f>
        <v/>
      </c>
      <c r="O173" s="273">
        <f>IF(E173=6,(MIN(VLOOKUP($E173,$A$232:$E$241,5,0),H173)),H173)</f>
        <v>0</v>
      </c>
      <c r="P173" s="272">
        <f>IF(E173=6,I173,IF(E173&gt;0,MIN((VLOOKUP($E173,$A$232:$E$241,5,0)),(I173)),0))*(1-$T$2)</f>
        <v>0</v>
      </c>
      <c r="Q173" s="62">
        <f t="shared" si="25"/>
        <v>0</v>
      </c>
      <c r="R173" s="274" t="str">
        <f t="shared" si="26"/>
        <v/>
      </c>
      <c r="S173" s="269">
        <f>(IF(OR($B173=0,$C173=0,$D173=0),0,IF(OR($E173=0,($G173+$F173=0),$H173=0),0,MIN((VLOOKUP($E173,$A$232:$C$241,3,0))*(IF($E173=6,$P173,$O173))*((MIN((VLOOKUP($E173,$A$232:$E$241,5,0)),(IF($E173=6,$O173,$P173))))),MIN((VLOOKUP($E173,$A$232:$C$241,3,0)),($F173+$G173))*(IF($E173=6,$P173,((MIN((VLOOKUP($E173,$A$232:$E$241,5,0)),$P173)))))))))*$Q173</f>
        <v>0</v>
      </c>
      <c r="T173" s="101">
        <f t="shared" si="27"/>
        <v>0</v>
      </c>
      <c r="U173" s="122"/>
      <c r="V173" s="300"/>
      <c r="W173" s="131">
        <f t="shared" si="30"/>
        <v>0</v>
      </c>
      <c r="X173" s="62">
        <f t="shared" si="28"/>
        <v>0</v>
      </c>
      <c r="Y173" s="63" t="str">
        <f t="shared" si="21"/>
        <v/>
      </c>
      <c r="Z173" s="133">
        <f>(IF(OR($B173=0,$C173=0,$D173=0),0,IF(OR($E173=0,($G173+$F173=0),$H173=0),0,MIN((VLOOKUP($E173,$A$232:$C$241,3,0))*(IF($E173=6,$W173,$O173))*((MIN((VLOOKUP($E173,$A$232:$E$241,5,0)),(IF($E173=6,$O173,$W173))))),MIN((VLOOKUP($E173,$A$232:$C$241,3,0)),($F173+$G173))*(IF($E173=6,$W173,((MIN((VLOOKUP($E173,$A$232:$E$241,5,0)),$W173)))))))))*$X173</f>
        <v>0</v>
      </c>
      <c r="AA173" s="139">
        <f t="shared" si="22"/>
        <v>0</v>
      </c>
      <c r="AB173" s="126"/>
      <c r="AC173" s="295"/>
      <c r="AD173" s="295"/>
      <c r="AF173" s="359">
        <f t="shared" si="29"/>
        <v>0</v>
      </c>
    </row>
    <row r="174" spans="1:32" s="22" customFormat="1" ht="24.75" customHeight="1" outlineLevel="1" x14ac:dyDescent="0.2">
      <c r="A174" s="177">
        <v>171</v>
      </c>
      <c r="B174" s="325"/>
      <c r="C174" s="334"/>
      <c r="D174" s="334"/>
      <c r="E174" s="326"/>
      <c r="F174" s="327"/>
      <c r="G174" s="328"/>
      <c r="H174" s="329"/>
      <c r="I174" s="329"/>
      <c r="J174" s="330"/>
      <c r="K174" s="331">
        <f>(IF(OR($B174=0,$C174=0,$D174=0),0,IF(OR($E174=0,($G174+$F174=0),$H174=0),0,MIN((VLOOKUP($E174,$A$232:$C$241,3,0))*(IF($E174=6,$I174,$H174))*((MIN((VLOOKUP($E174,$A$232:$E$241,5,0)),(IF($E174=6,$H174,$I174))))),MIN((VLOOKUP($E174,$A$232:$C$241,3,0)),($F174+$G174))*(IF($E174=6,$I174,((MIN((VLOOKUP($E174,$A$232:$E$241,5,0)),$I174)))))))))*$J174</f>
        <v>0</v>
      </c>
      <c r="L174" s="332">
        <f t="shared" si="23"/>
        <v>0</v>
      </c>
      <c r="M174" s="333">
        <f t="shared" si="24"/>
        <v>0</v>
      </c>
      <c r="N174" s="277" t="str">
        <f>IF(E174&gt;0,MIN((VLOOKUP($E174,$A$232:$C$241,3,0)),($F174+$G174)),"")</f>
        <v/>
      </c>
      <c r="O174" s="273">
        <f>IF(E174=6,(MIN(VLOOKUP($E174,$A$232:$E$241,5,0),H174)),H174)</f>
        <v>0</v>
      </c>
      <c r="P174" s="272">
        <f>IF(E174=6,I174,IF(E174&gt;0,MIN((VLOOKUP($E174,$A$232:$E$241,5,0)),(I174)),0))*(1-$T$2)</f>
        <v>0</v>
      </c>
      <c r="Q174" s="62">
        <f t="shared" si="25"/>
        <v>0</v>
      </c>
      <c r="R174" s="274" t="str">
        <f t="shared" si="26"/>
        <v/>
      </c>
      <c r="S174" s="269">
        <f>(IF(OR($B174=0,$C174=0,$D174=0),0,IF(OR($E174=0,($G174+$F174=0),$H174=0),0,MIN((VLOOKUP($E174,$A$232:$C$241,3,0))*(IF($E174=6,$P174,$O174))*((MIN((VLOOKUP($E174,$A$232:$E$241,5,0)),(IF($E174=6,$O174,$P174))))),MIN((VLOOKUP($E174,$A$232:$C$241,3,0)),($F174+$G174))*(IF($E174=6,$P174,((MIN((VLOOKUP($E174,$A$232:$E$241,5,0)),$P174)))))))))*$Q174</f>
        <v>0</v>
      </c>
      <c r="T174" s="101">
        <f t="shared" si="27"/>
        <v>0</v>
      </c>
      <c r="U174" s="122"/>
      <c r="V174" s="300"/>
      <c r="W174" s="131">
        <f t="shared" si="30"/>
        <v>0</v>
      </c>
      <c r="X174" s="62">
        <f t="shared" si="28"/>
        <v>0</v>
      </c>
      <c r="Y174" s="63" t="str">
        <f t="shared" si="21"/>
        <v/>
      </c>
      <c r="Z174" s="133">
        <f>(IF(OR($B174=0,$C174=0,$D174=0),0,IF(OR($E174=0,($G174+$F174=0),$H174=0),0,MIN((VLOOKUP($E174,$A$232:$C$241,3,0))*(IF($E174=6,$W174,$O174))*((MIN((VLOOKUP($E174,$A$232:$E$241,5,0)),(IF($E174=6,$O174,$W174))))),MIN((VLOOKUP($E174,$A$232:$C$241,3,0)),($F174+$G174))*(IF($E174=6,$W174,((MIN((VLOOKUP($E174,$A$232:$E$241,5,0)),$W174)))))))))*$X174</f>
        <v>0</v>
      </c>
      <c r="AA174" s="139">
        <f t="shared" si="22"/>
        <v>0</v>
      </c>
      <c r="AB174" s="126"/>
      <c r="AC174" s="295"/>
      <c r="AD174" s="295"/>
      <c r="AF174" s="359">
        <f t="shared" si="29"/>
        <v>0</v>
      </c>
    </row>
    <row r="175" spans="1:32" s="22" customFormat="1" ht="24.75" customHeight="1" outlineLevel="1" x14ac:dyDescent="0.2">
      <c r="A175" s="177">
        <v>172</v>
      </c>
      <c r="B175" s="325"/>
      <c r="C175" s="334"/>
      <c r="D175" s="334"/>
      <c r="E175" s="326"/>
      <c r="F175" s="327"/>
      <c r="G175" s="328"/>
      <c r="H175" s="329"/>
      <c r="I175" s="329"/>
      <c r="J175" s="330"/>
      <c r="K175" s="331">
        <f>(IF(OR($B175=0,$C175=0,$D175=0),0,IF(OR($E175=0,($G175+$F175=0),$H175=0),0,MIN((VLOOKUP($E175,$A$232:$C$241,3,0))*(IF($E175=6,$I175,$H175))*((MIN((VLOOKUP($E175,$A$232:$E$241,5,0)),(IF($E175=6,$H175,$I175))))),MIN((VLOOKUP($E175,$A$232:$C$241,3,0)),($F175+$G175))*(IF($E175=6,$I175,((MIN((VLOOKUP($E175,$A$232:$E$241,5,0)),$I175)))))))))*$J175</f>
        <v>0</v>
      </c>
      <c r="L175" s="332">
        <f t="shared" si="23"/>
        <v>0</v>
      </c>
      <c r="M175" s="333">
        <f t="shared" si="24"/>
        <v>0</v>
      </c>
      <c r="N175" s="277" t="str">
        <f>IF(E175&gt;0,MIN((VLOOKUP($E175,$A$232:$C$241,3,0)),($F175+$G175)),"")</f>
        <v/>
      </c>
      <c r="O175" s="273">
        <f>IF(E175=6,(MIN(VLOOKUP($E175,$A$232:$E$241,5,0),H175)),H175)</f>
        <v>0</v>
      </c>
      <c r="P175" s="272">
        <f>IF(E175=6,I175,IF(E175&gt;0,MIN((VLOOKUP($E175,$A$232:$E$241,5,0)),(I175)),0))*(1-$T$2)</f>
        <v>0</v>
      </c>
      <c r="Q175" s="62">
        <f t="shared" si="25"/>
        <v>0</v>
      </c>
      <c r="R175" s="274" t="str">
        <f t="shared" si="26"/>
        <v/>
      </c>
      <c r="S175" s="269">
        <f>(IF(OR($B175=0,$C175=0,$D175=0),0,IF(OR($E175=0,($G175+$F175=0),$H175=0),0,MIN((VLOOKUP($E175,$A$232:$C$241,3,0))*(IF($E175=6,$P175,$O175))*((MIN((VLOOKUP($E175,$A$232:$E$241,5,0)),(IF($E175=6,$O175,$P175))))),MIN((VLOOKUP($E175,$A$232:$C$241,3,0)),($F175+$G175))*(IF($E175=6,$P175,((MIN((VLOOKUP($E175,$A$232:$E$241,5,0)),$P175)))))))))*$Q175</f>
        <v>0</v>
      </c>
      <c r="T175" s="101">
        <f t="shared" si="27"/>
        <v>0</v>
      </c>
      <c r="U175" s="122"/>
      <c r="V175" s="300"/>
      <c r="W175" s="131">
        <f t="shared" si="30"/>
        <v>0</v>
      </c>
      <c r="X175" s="62">
        <f t="shared" si="28"/>
        <v>0</v>
      </c>
      <c r="Y175" s="63" t="str">
        <f t="shared" si="21"/>
        <v/>
      </c>
      <c r="Z175" s="133">
        <f>(IF(OR($B175=0,$C175=0,$D175=0),0,IF(OR($E175=0,($G175+$F175=0),$H175=0),0,MIN((VLOOKUP($E175,$A$232:$C$241,3,0))*(IF($E175=6,$W175,$O175))*((MIN((VLOOKUP($E175,$A$232:$E$241,5,0)),(IF($E175=6,$O175,$W175))))),MIN((VLOOKUP($E175,$A$232:$C$241,3,0)),($F175+$G175))*(IF($E175=6,$W175,((MIN((VLOOKUP($E175,$A$232:$E$241,5,0)),$W175)))))))))*$X175</f>
        <v>0</v>
      </c>
      <c r="AA175" s="139">
        <f t="shared" si="22"/>
        <v>0</v>
      </c>
      <c r="AB175" s="126"/>
      <c r="AC175" s="295"/>
      <c r="AD175" s="295"/>
      <c r="AF175" s="359">
        <f t="shared" si="29"/>
        <v>0</v>
      </c>
    </row>
    <row r="176" spans="1:32" s="22" customFormat="1" ht="24.75" customHeight="1" outlineLevel="1" x14ac:dyDescent="0.2">
      <c r="A176" s="177">
        <v>173</v>
      </c>
      <c r="B176" s="325"/>
      <c r="C176" s="334"/>
      <c r="D176" s="334"/>
      <c r="E176" s="326"/>
      <c r="F176" s="327"/>
      <c r="G176" s="328"/>
      <c r="H176" s="329"/>
      <c r="I176" s="329"/>
      <c r="J176" s="330"/>
      <c r="K176" s="331">
        <f>(IF(OR($B176=0,$C176=0,$D176=0),0,IF(OR($E176=0,($G176+$F176=0),$H176=0),0,MIN((VLOOKUP($E176,$A$232:$C$241,3,0))*(IF($E176=6,$I176,$H176))*((MIN((VLOOKUP($E176,$A$232:$E$241,5,0)),(IF($E176=6,$H176,$I176))))),MIN((VLOOKUP($E176,$A$232:$C$241,3,0)),($F176+$G176))*(IF($E176=6,$I176,((MIN((VLOOKUP($E176,$A$232:$E$241,5,0)),$I176)))))))))*$J176</f>
        <v>0</v>
      </c>
      <c r="L176" s="332">
        <f t="shared" si="23"/>
        <v>0</v>
      </c>
      <c r="M176" s="333">
        <f t="shared" si="24"/>
        <v>0</v>
      </c>
      <c r="N176" s="277" t="str">
        <f>IF(E176&gt;0,MIN((VLOOKUP($E176,$A$232:$C$241,3,0)),($F176+$G176)),"")</f>
        <v/>
      </c>
      <c r="O176" s="273">
        <f>IF(E176=6,(MIN(VLOOKUP($E176,$A$232:$E$241,5,0),H176)),H176)</f>
        <v>0</v>
      </c>
      <c r="P176" s="272">
        <f>IF(E176=6,I176,IF(E176&gt;0,MIN((VLOOKUP($E176,$A$232:$E$241,5,0)),(I176)),0))*(1-$T$2)</f>
        <v>0</v>
      </c>
      <c r="Q176" s="62">
        <f t="shared" si="25"/>
        <v>0</v>
      </c>
      <c r="R176" s="274" t="str">
        <f t="shared" si="26"/>
        <v/>
      </c>
      <c r="S176" s="269">
        <f>(IF(OR($B176=0,$C176=0,$D176=0),0,IF(OR($E176=0,($G176+$F176=0),$H176=0),0,MIN((VLOOKUP($E176,$A$232:$C$241,3,0))*(IF($E176=6,$P176,$O176))*((MIN((VLOOKUP($E176,$A$232:$E$241,5,0)),(IF($E176=6,$O176,$P176))))),MIN((VLOOKUP($E176,$A$232:$C$241,3,0)),($F176+$G176))*(IF($E176=6,$P176,((MIN((VLOOKUP($E176,$A$232:$E$241,5,0)),$P176)))))))))*$Q176</f>
        <v>0</v>
      </c>
      <c r="T176" s="101">
        <f t="shared" si="27"/>
        <v>0</v>
      </c>
      <c r="U176" s="122"/>
      <c r="V176" s="300"/>
      <c r="W176" s="131">
        <f t="shared" si="30"/>
        <v>0</v>
      </c>
      <c r="X176" s="62">
        <f t="shared" si="28"/>
        <v>0</v>
      </c>
      <c r="Y176" s="63" t="str">
        <f t="shared" si="21"/>
        <v/>
      </c>
      <c r="Z176" s="133">
        <f>(IF(OR($B176=0,$C176=0,$D176=0),0,IF(OR($E176=0,($G176+$F176=0),$H176=0),0,MIN((VLOOKUP($E176,$A$232:$C$241,3,0))*(IF($E176=6,$W176,$O176))*((MIN((VLOOKUP($E176,$A$232:$E$241,5,0)),(IF($E176=6,$O176,$W176))))),MIN((VLOOKUP($E176,$A$232:$C$241,3,0)),($F176+$G176))*(IF($E176=6,$W176,((MIN((VLOOKUP($E176,$A$232:$E$241,5,0)),$W176)))))))))*$X176</f>
        <v>0</v>
      </c>
      <c r="AA176" s="139">
        <f t="shared" si="22"/>
        <v>0</v>
      </c>
      <c r="AB176" s="126"/>
      <c r="AC176" s="295"/>
      <c r="AD176" s="295"/>
      <c r="AF176" s="359">
        <f t="shared" si="29"/>
        <v>0</v>
      </c>
    </row>
    <row r="177" spans="1:32" s="22" customFormat="1" ht="24.75" customHeight="1" outlineLevel="1" x14ac:dyDescent="0.2">
      <c r="A177" s="177">
        <v>174</v>
      </c>
      <c r="B177" s="325"/>
      <c r="C177" s="334"/>
      <c r="D177" s="334"/>
      <c r="E177" s="326"/>
      <c r="F177" s="327"/>
      <c r="G177" s="328"/>
      <c r="H177" s="329"/>
      <c r="I177" s="329"/>
      <c r="J177" s="330"/>
      <c r="K177" s="331">
        <f>(IF(OR($B177=0,$C177=0,$D177=0),0,IF(OR($E177=0,($G177+$F177=0),$H177=0),0,MIN((VLOOKUP($E177,$A$232:$C$241,3,0))*(IF($E177=6,$I177,$H177))*((MIN((VLOOKUP($E177,$A$232:$E$241,5,0)),(IF($E177=6,$H177,$I177))))),MIN((VLOOKUP($E177,$A$232:$C$241,3,0)),($F177+$G177))*(IF($E177=6,$I177,((MIN((VLOOKUP($E177,$A$232:$E$241,5,0)),$I177)))))))))*$J177</f>
        <v>0</v>
      </c>
      <c r="L177" s="332">
        <f t="shared" si="23"/>
        <v>0</v>
      </c>
      <c r="M177" s="333">
        <f t="shared" si="24"/>
        <v>0</v>
      </c>
      <c r="N177" s="277" t="str">
        <f>IF(E177&gt;0,MIN((VLOOKUP($E177,$A$232:$C$241,3,0)),($F177+$G177)),"")</f>
        <v/>
      </c>
      <c r="O177" s="273">
        <f>IF(E177=6,(MIN(VLOOKUP($E177,$A$232:$E$241,5,0),H177)),H177)</f>
        <v>0</v>
      </c>
      <c r="P177" s="272">
        <f>IF(E177=6,I177,IF(E177&gt;0,MIN((VLOOKUP($E177,$A$232:$E$241,5,0)),(I177)),0))*(1-$T$2)</f>
        <v>0</v>
      </c>
      <c r="Q177" s="62">
        <f t="shared" si="25"/>
        <v>0</v>
      </c>
      <c r="R177" s="274" t="str">
        <f t="shared" si="26"/>
        <v/>
      </c>
      <c r="S177" s="269">
        <f>(IF(OR($B177=0,$C177=0,$D177=0),0,IF(OR($E177=0,($G177+$F177=0),$H177=0),0,MIN((VLOOKUP($E177,$A$232:$C$241,3,0))*(IF($E177=6,$P177,$O177))*((MIN((VLOOKUP($E177,$A$232:$E$241,5,0)),(IF($E177=6,$O177,$P177))))),MIN((VLOOKUP($E177,$A$232:$C$241,3,0)),($F177+$G177))*(IF($E177=6,$P177,((MIN((VLOOKUP($E177,$A$232:$E$241,5,0)),$P177)))))))))*$Q177</f>
        <v>0</v>
      </c>
      <c r="T177" s="101">
        <f t="shared" si="27"/>
        <v>0</v>
      </c>
      <c r="U177" s="122"/>
      <c r="V177" s="300"/>
      <c r="W177" s="131">
        <f t="shared" si="30"/>
        <v>0</v>
      </c>
      <c r="X177" s="62">
        <f t="shared" si="28"/>
        <v>0</v>
      </c>
      <c r="Y177" s="63" t="str">
        <f t="shared" si="21"/>
        <v/>
      </c>
      <c r="Z177" s="133">
        <f>(IF(OR($B177=0,$C177=0,$D177=0),0,IF(OR($E177=0,($G177+$F177=0),$H177=0),0,MIN((VLOOKUP($E177,$A$232:$C$241,3,0))*(IF($E177=6,$W177,$O177))*((MIN((VLOOKUP($E177,$A$232:$E$241,5,0)),(IF($E177=6,$O177,$W177))))),MIN((VLOOKUP($E177,$A$232:$C$241,3,0)),($F177+$G177))*(IF($E177=6,$W177,((MIN((VLOOKUP($E177,$A$232:$E$241,5,0)),$W177)))))))))*$X177</f>
        <v>0</v>
      </c>
      <c r="AA177" s="139">
        <f t="shared" si="22"/>
        <v>0</v>
      </c>
      <c r="AB177" s="126"/>
      <c r="AC177" s="295"/>
      <c r="AD177" s="295"/>
      <c r="AF177" s="359">
        <f t="shared" si="29"/>
        <v>0</v>
      </c>
    </row>
    <row r="178" spans="1:32" s="22" customFormat="1" ht="24.75" customHeight="1" outlineLevel="1" x14ac:dyDescent="0.2">
      <c r="A178" s="177">
        <v>175</v>
      </c>
      <c r="B178" s="325"/>
      <c r="C178" s="334"/>
      <c r="D178" s="334"/>
      <c r="E178" s="326"/>
      <c r="F178" s="327"/>
      <c r="G178" s="328"/>
      <c r="H178" s="329"/>
      <c r="I178" s="329"/>
      <c r="J178" s="330"/>
      <c r="K178" s="331">
        <f>(IF(OR($B178=0,$C178=0,$D178=0),0,IF(OR($E178=0,($G178+$F178=0),$H178=0),0,MIN((VLOOKUP($E178,$A$232:$C$241,3,0))*(IF($E178=6,$I178,$H178))*((MIN((VLOOKUP($E178,$A$232:$E$241,5,0)),(IF($E178=6,$H178,$I178))))),MIN((VLOOKUP($E178,$A$232:$C$241,3,0)),($F178+$G178))*(IF($E178=6,$I178,((MIN((VLOOKUP($E178,$A$232:$E$241,5,0)),$I178)))))))))*$J178</f>
        <v>0</v>
      </c>
      <c r="L178" s="332">
        <f t="shared" si="23"/>
        <v>0</v>
      </c>
      <c r="M178" s="333">
        <f t="shared" si="24"/>
        <v>0</v>
      </c>
      <c r="N178" s="277" t="str">
        <f>IF(E178&gt;0,MIN((VLOOKUP($E178,$A$232:$C$241,3,0)),($F178+$G178)),"")</f>
        <v/>
      </c>
      <c r="O178" s="273">
        <f>IF(E178=6,(MIN(VLOOKUP($E178,$A$232:$E$241,5,0),H178)),H178)</f>
        <v>0</v>
      </c>
      <c r="P178" s="272">
        <f>IF(E178=6,I178,IF(E178&gt;0,MIN((VLOOKUP($E178,$A$232:$E$241,5,0)),(I178)),0))*(1-$T$2)</f>
        <v>0</v>
      </c>
      <c r="Q178" s="62">
        <f t="shared" si="25"/>
        <v>0</v>
      </c>
      <c r="R178" s="274" t="str">
        <f t="shared" si="26"/>
        <v/>
      </c>
      <c r="S178" s="269">
        <f>(IF(OR($B178=0,$C178=0,$D178=0),0,IF(OR($E178=0,($G178+$F178=0),$H178=0),0,MIN((VLOOKUP($E178,$A$232:$C$241,3,0))*(IF($E178=6,$P178,$O178))*((MIN((VLOOKUP($E178,$A$232:$E$241,5,0)),(IF($E178=6,$O178,$P178))))),MIN((VLOOKUP($E178,$A$232:$C$241,3,0)),($F178+$G178))*(IF($E178=6,$P178,((MIN((VLOOKUP($E178,$A$232:$E$241,5,0)),$P178)))))))))*$Q178</f>
        <v>0</v>
      </c>
      <c r="T178" s="101">
        <f t="shared" si="27"/>
        <v>0</v>
      </c>
      <c r="U178" s="122"/>
      <c r="V178" s="300"/>
      <c r="W178" s="131">
        <f t="shared" si="30"/>
        <v>0</v>
      </c>
      <c r="X178" s="62">
        <f t="shared" si="28"/>
        <v>0</v>
      </c>
      <c r="Y178" s="63" t="str">
        <f t="shared" si="21"/>
        <v/>
      </c>
      <c r="Z178" s="133">
        <f>(IF(OR($B178=0,$C178=0,$D178=0),0,IF(OR($E178=0,($G178+$F178=0),$H178=0),0,MIN((VLOOKUP($E178,$A$232:$C$241,3,0))*(IF($E178=6,$W178,$O178))*((MIN((VLOOKUP($E178,$A$232:$E$241,5,0)),(IF($E178=6,$O178,$W178))))),MIN((VLOOKUP($E178,$A$232:$C$241,3,0)),($F178+$G178))*(IF($E178=6,$W178,((MIN((VLOOKUP($E178,$A$232:$E$241,5,0)),$W178)))))))))*$X178</f>
        <v>0</v>
      </c>
      <c r="AA178" s="139">
        <f t="shared" si="22"/>
        <v>0</v>
      </c>
      <c r="AB178" s="126"/>
      <c r="AC178" s="295"/>
      <c r="AD178" s="295"/>
      <c r="AF178" s="359">
        <f t="shared" si="29"/>
        <v>0</v>
      </c>
    </row>
    <row r="179" spans="1:32" s="22" customFormat="1" ht="24.75" customHeight="1" outlineLevel="1" x14ac:dyDescent="0.2">
      <c r="A179" s="177">
        <v>176</v>
      </c>
      <c r="B179" s="325"/>
      <c r="C179" s="334"/>
      <c r="D179" s="334"/>
      <c r="E179" s="326"/>
      <c r="F179" s="327"/>
      <c r="G179" s="328"/>
      <c r="H179" s="329"/>
      <c r="I179" s="329"/>
      <c r="J179" s="330"/>
      <c r="K179" s="331">
        <f>(IF(OR($B179=0,$C179=0,$D179=0),0,IF(OR($E179=0,($G179+$F179=0),$H179=0),0,MIN((VLOOKUP($E179,$A$232:$C$241,3,0))*(IF($E179=6,$I179,$H179))*((MIN((VLOOKUP($E179,$A$232:$E$241,5,0)),(IF($E179=6,$H179,$I179))))),MIN((VLOOKUP($E179,$A$232:$C$241,3,0)),($F179+$G179))*(IF($E179=6,$I179,((MIN((VLOOKUP($E179,$A$232:$E$241,5,0)),$I179)))))))))*$J179</f>
        <v>0</v>
      </c>
      <c r="L179" s="332">
        <f t="shared" si="23"/>
        <v>0</v>
      </c>
      <c r="M179" s="333">
        <f t="shared" si="24"/>
        <v>0</v>
      </c>
      <c r="N179" s="277" t="str">
        <f>IF(E179&gt;0,MIN((VLOOKUP($E179,$A$232:$C$241,3,0)),($F179+$G179)),"")</f>
        <v/>
      </c>
      <c r="O179" s="273">
        <f>IF(E179=6,(MIN(VLOOKUP($E179,$A$232:$E$241,5,0),H179)),H179)</f>
        <v>0</v>
      </c>
      <c r="P179" s="272">
        <f>IF(E179=6,I179,IF(E179&gt;0,MIN((VLOOKUP($E179,$A$232:$E$241,5,0)),(I179)),0))*(1-$T$2)</f>
        <v>0</v>
      </c>
      <c r="Q179" s="62">
        <f t="shared" si="25"/>
        <v>0</v>
      </c>
      <c r="R179" s="274" t="str">
        <f t="shared" si="26"/>
        <v/>
      </c>
      <c r="S179" s="269">
        <f>(IF(OR($B179=0,$C179=0,$D179=0),0,IF(OR($E179=0,($G179+$F179=0),$H179=0),0,MIN((VLOOKUP($E179,$A$232:$C$241,3,0))*(IF($E179=6,$P179,$O179))*((MIN((VLOOKUP($E179,$A$232:$E$241,5,0)),(IF($E179=6,$O179,$P179))))),MIN((VLOOKUP($E179,$A$232:$C$241,3,0)),($F179+$G179))*(IF($E179=6,$P179,((MIN((VLOOKUP($E179,$A$232:$E$241,5,0)),$P179)))))))))*$Q179</f>
        <v>0</v>
      </c>
      <c r="T179" s="101">
        <f t="shared" si="27"/>
        <v>0</v>
      </c>
      <c r="U179" s="122"/>
      <c r="V179" s="300"/>
      <c r="W179" s="131">
        <f t="shared" si="30"/>
        <v>0</v>
      </c>
      <c r="X179" s="62">
        <f t="shared" si="28"/>
        <v>0</v>
      </c>
      <c r="Y179" s="63" t="str">
        <f t="shared" si="21"/>
        <v/>
      </c>
      <c r="Z179" s="133">
        <f>(IF(OR($B179=0,$C179=0,$D179=0),0,IF(OR($E179=0,($G179+$F179=0),$H179=0),0,MIN((VLOOKUP($E179,$A$232:$C$241,3,0))*(IF($E179=6,$W179,$O179))*((MIN((VLOOKUP($E179,$A$232:$E$241,5,0)),(IF($E179=6,$O179,$W179))))),MIN((VLOOKUP($E179,$A$232:$C$241,3,0)),($F179+$G179))*(IF($E179=6,$W179,((MIN((VLOOKUP($E179,$A$232:$E$241,5,0)),$W179)))))))))*$X179</f>
        <v>0</v>
      </c>
      <c r="AA179" s="139">
        <f t="shared" si="22"/>
        <v>0</v>
      </c>
      <c r="AB179" s="126"/>
      <c r="AC179" s="295"/>
      <c r="AD179" s="295"/>
      <c r="AF179" s="359">
        <f t="shared" si="29"/>
        <v>0</v>
      </c>
    </row>
    <row r="180" spans="1:32" s="22" customFormat="1" ht="24.75" customHeight="1" outlineLevel="1" x14ac:dyDescent="0.2">
      <c r="A180" s="177">
        <v>177</v>
      </c>
      <c r="B180" s="325"/>
      <c r="C180" s="334"/>
      <c r="D180" s="334"/>
      <c r="E180" s="326"/>
      <c r="F180" s="327"/>
      <c r="G180" s="328"/>
      <c r="H180" s="329"/>
      <c r="I180" s="329"/>
      <c r="J180" s="330"/>
      <c r="K180" s="331">
        <f>(IF(OR($B180=0,$C180=0,$D180=0),0,IF(OR($E180=0,($G180+$F180=0),$H180=0),0,MIN((VLOOKUP($E180,$A$232:$C$241,3,0))*(IF($E180=6,$I180,$H180))*((MIN((VLOOKUP($E180,$A$232:$E$241,5,0)),(IF($E180=6,$H180,$I180))))),MIN((VLOOKUP($E180,$A$232:$C$241,3,0)),($F180+$G180))*(IF($E180=6,$I180,((MIN((VLOOKUP($E180,$A$232:$E$241,5,0)),$I180)))))))))*$J180</f>
        <v>0</v>
      </c>
      <c r="L180" s="332">
        <f t="shared" si="23"/>
        <v>0</v>
      </c>
      <c r="M180" s="333">
        <f t="shared" si="24"/>
        <v>0</v>
      </c>
      <c r="N180" s="277" t="str">
        <f>IF(E180&gt;0,MIN((VLOOKUP($E180,$A$232:$C$241,3,0)),($F180+$G180)),"")</f>
        <v/>
      </c>
      <c r="O180" s="273">
        <f>IF(E180=6,(MIN(VLOOKUP($E180,$A$232:$E$241,5,0),H180)),H180)</f>
        <v>0</v>
      </c>
      <c r="P180" s="272">
        <f>IF(E180=6,I180,IF(E180&gt;0,MIN((VLOOKUP($E180,$A$232:$E$241,5,0)),(I180)),0))*(1-$T$2)</f>
        <v>0</v>
      </c>
      <c r="Q180" s="62">
        <f t="shared" si="25"/>
        <v>0</v>
      </c>
      <c r="R180" s="274" t="str">
        <f t="shared" si="26"/>
        <v/>
      </c>
      <c r="S180" s="269">
        <f>(IF(OR($B180=0,$C180=0,$D180=0),0,IF(OR($E180=0,($G180+$F180=0),$H180=0),0,MIN((VLOOKUP($E180,$A$232:$C$241,3,0))*(IF($E180=6,$P180,$O180))*((MIN((VLOOKUP($E180,$A$232:$E$241,5,0)),(IF($E180=6,$O180,$P180))))),MIN((VLOOKUP($E180,$A$232:$C$241,3,0)),($F180+$G180))*(IF($E180=6,$P180,((MIN((VLOOKUP($E180,$A$232:$E$241,5,0)),$P180)))))))))*$Q180</f>
        <v>0</v>
      </c>
      <c r="T180" s="101">
        <f t="shared" si="27"/>
        <v>0</v>
      </c>
      <c r="U180" s="122"/>
      <c r="V180" s="300"/>
      <c r="W180" s="131">
        <f t="shared" si="30"/>
        <v>0</v>
      </c>
      <c r="X180" s="62">
        <f t="shared" si="28"/>
        <v>0</v>
      </c>
      <c r="Y180" s="63" t="str">
        <f t="shared" si="21"/>
        <v/>
      </c>
      <c r="Z180" s="133">
        <f>(IF(OR($B180=0,$C180=0,$D180=0),0,IF(OR($E180=0,($G180+$F180=0),$H180=0),0,MIN((VLOOKUP($E180,$A$232:$C$241,3,0))*(IF($E180=6,$W180,$O180))*((MIN((VLOOKUP($E180,$A$232:$E$241,5,0)),(IF($E180=6,$O180,$W180))))),MIN((VLOOKUP($E180,$A$232:$C$241,3,0)),($F180+$G180))*(IF($E180=6,$W180,((MIN((VLOOKUP($E180,$A$232:$E$241,5,0)),$W180)))))))))*$X180</f>
        <v>0</v>
      </c>
      <c r="AA180" s="139">
        <f t="shared" si="22"/>
        <v>0</v>
      </c>
      <c r="AB180" s="126"/>
      <c r="AC180" s="295"/>
      <c r="AD180" s="295"/>
      <c r="AF180" s="359">
        <f t="shared" si="29"/>
        <v>0</v>
      </c>
    </row>
    <row r="181" spans="1:32" s="22" customFormat="1" ht="24.75" customHeight="1" outlineLevel="1" x14ac:dyDescent="0.2">
      <c r="A181" s="177">
        <v>178</v>
      </c>
      <c r="B181" s="325"/>
      <c r="C181" s="334"/>
      <c r="D181" s="334"/>
      <c r="E181" s="326"/>
      <c r="F181" s="327"/>
      <c r="G181" s="328"/>
      <c r="H181" s="329"/>
      <c r="I181" s="329"/>
      <c r="J181" s="330"/>
      <c r="K181" s="331">
        <f>(IF(OR($B181=0,$C181=0,$D181=0),0,IF(OR($E181=0,($G181+$F181=0),$H181=0),0,MIN((VLOOKUP($E181,$A$232:$C$241,3,0))*(IF($E181=6,$I181,$H181))*((MIN((VLOOKUP($E181,$A$232:$E$241,5,0)),(IF($E181=6,$H181,$I181))))),MIN((VLOOKUP($E181,$A$232:$C$241,3,0)),($F181+$G181))*(IF($E181=6,$I181,((MIN((VLOOKUP($E181,$A$232:$E$241,5,0)),$I181)))))))))*$J181</f>
        <v>0</v>
      </c>
      <c r="L181" s="332">
        <f t="shared" si="23"/>
        <v>0</v>
      </c>
      <c r="M181" s="333">
        <f t="shared" si="24"/>
        <v>0</v>
      </c>
      <c r="N181" s="277" t="str">
        <f>IF(E181&gt;0,MIN((VLOOKUP($E181,$A$232:$C$241,3,0)),($F181+$G181)),"")</f>
        <v/>
      </c>
      <c r="O181" s="273">
        <f>IF(E181=6,(MIN(VLOOKUP($E181,$A$232:$E$241,5,0),H181)),H181)</f>
        <v>0</v>
      </c>
      <c r="P181" s="272">
        <f>IF(E181=6,I181,IF(E181&gt;0,MIN((VLOOKUP($E181,$A$232:$E$241,5,0)),(I181)),0))*(1-$T$2)</f>
        <v>0</v>
      </c>
      <c r="Q181" s="62">
        <f t="shared" si="25"/>
        <v>0</v>
      </c>
      <c r="R181" s="274" t="str">
        <f t="shared" si="26"/>
        <v/>
      </c>
      <c r="S181" s="269">
        <f>(IF(OR($B181=0,$C181=0,$D181=0),0,IF(OR($E181=0,($G181+$F181=0),$H181=0),0,MIN((VLOOKUP($E181,$A$232:$C$241,3,0))*(IF($E181=6,$P181,$O181))*((MIN((VLOOKUP($E181,$A$232:$E$241,5,0)),(IF($E181=6,$O181,$P181))))),MIN((VLOOKUP($E181,$A$232:$C$241,3,0)),($F181+$G181))*(IF($E181=6,$P181,((MIN((VLOOKUP($E181,$A$232:$E$241,5,0)),$P181)))))))))*$Q181</f>
        <v>0</v>
      </c>
      <c r="T181" s="101">
        <f t="shared" si="27"/>
        <v>0</v>
      </c>
      <c r="U181" s="122"/>
      <c r="V181" s="300"/>
      <c r="W181" s="131">
        <f t="shared" si="30"/>
        <v>0</v>
      </c>
      <c r="X181" s="62">
        <f t="shared" si="28"/>
        <v>0</v>
      </c>
      <c r="Y181" s="63" t="str">
        <f t="shared" si="21"/>
        <v/>
      </c>
      <c r="Z181" s="133">
        <f>(IF(OR($B181=0,$C181=0,$D181=0),0,IF(OR($E181=0,($G181+$F181=0),$H181=0),0,MIN((VLOOKUP($E181,$A$232:$C$241,3,0))*(IF($E181=6,$W181,$O181))*((MIN((VLOOKUP($E181,$A$232:$E$241,5,0)),(IF($E181=6,$O181,$W181))))),MIN((VLOOKUP($E181,$A$232:$C$241,3,0)),($F181+$G181))*(IF($E181=6,$W181,((MIN((VLOOKUP($E181,$A$232:$E$241,5,0)),$W181)))))))))*$X181</f>
        <v>0</v>
      </c>
      <c r="AA181" s="139">
        <f t="shared" si="22"/>
        <v>0</v>
      </c>
      <c r="AB181" s="126"/>
      <c r="AC181" s="295"/>
      <c r="AD181" s="295"/>
      <c r="AF181" s="359">
        <f t="shared" si="29"/>
        <v>0</v>
      </c>
    </row>
    <row r="182" spans="1:32" s="22" customFormat="1" ht="24.75" customHeight="1" outlineLevel="1" x14ac:dyDescent="0.2">
      <c r="A182" s="177">
        <v>179</v>
      </c>
      <c r="B182" s="325"/>
      <c r="C182" s="334"/>
      <c r="D182" s="334"/>
      <c r="E182" s="326"/>
      <c r="F182" s="327"/>
      <c r="G182" s="328"/>
      <c r="H182" s="329"/>
      <c r="I182" s="329"/>
      <c r="J182" s="330"/>
      <c r="K182" s="331">
        <f>(IF(OR($B182=0,$C182=0,$D182=0),0,IF(OR($E182=0,($G182+$F182=0),$H182=0),0,MIN((VLOOKUP($E182,$A$232:$C$241,3,0))*(IF($E182=6,$I182,$H182))*((MIN((VLOOKUP($E182,$A$232:$E$241,5,0)),(IF($E182=6,$H182,$I182))))),MIN((VLOOKUP($E182,$A$232:$C$241,3,0)),($F182+$G182))*(IF($E182=6,$I182,((MIN((VLOOKUP($E182,$A$232:$E$241,5,0)),$I182)))))))))*$J182</f>
        <v>0</v>
      </c>
      <c r="L182" s="332">
        <f t="shared" si="23"/>
        <v>0</v>
      </c>
      <c r="M182" s="333">
        <f t="shared" si="24"/>
        <v>0</v>
      </c>
      <c r="N182" s="277" t="str">
        <f>IF(E182&gt;0,MIN((VLOOKUP($E182,$A$232:$C$241,3,0)),($F182+$G182)),"")</f>
        <v/>
      </c>
      <c r="O182" s="273">
        <f>IF(E182=6,(MIN(VLOOKUP($E182,$A$232:$E$241,5,0),H182)),H182)</f>
        <v>0</v>
      </c>
      <c r="P182" s="272">
        <f>IF(E182=6,I182,IF(E182&gt;0,MIN((VLOOKUP($E182,$A$232:$E$241,5,0)),(I182)),0))*(1-$T$2)</f>
        <v>0</v>
      </c>
      <c r="Q182" s="62">
        <f t="shared" si="25"/>
        <v>0</v>
      </c>
      <c r="R182" s="274" t="str">
        <f t="shared" si="26"/>
        <v/>
      </c>
      <c r="S182" s="269">
        <f>(IF(OR($B182=0,$C182=0,$D182=0),0,IF(OR($E182=0,($G182+$F182=0),$H182=0),0,MIN((VLOOKUP($E182,$A$232:$C$241,3,0))*(IF($E182=6,$P182,$O182))*((MIN((VLOOKUP($E182,$A$232:$E$241,5,0)),(IF($E182=6,$O182,$P182))))),MIN((VLOOKUP($E182,$A$232:$C$241,3,0)),($F182+$G182))*(IF($E182=6,$P182,((MIN((VLOOKUP($E182,$A$232:$E$241,5,0)),$P182)))))))))*$Q182</f>
        <v>0</v>
      </c>
      <c r="T182" s="101">
        <f t="shared" si="27"/>
        <v>0</v>
      </c>
      <c r="U182" s="122"/>
      <c r="V182" s="300"/>
      <c r="W182" s="131">
        <f t="shared" si="30"/>
        <v>0</v>
      </c>
      <c r="X182" s="62">
        <f t="shared" si="28"/>
        <v>0</v>
      </c>
      <c r="Y182" s="63" t="str">
        <f t="shared" si="21"/>
        <v/>
      </c>
      <c r="Z182" s="133">
        <f>(IF(OR($B182=0,$C182=0,$D182=0),0,IF(OR($E182=0,($G182+$F182=0),$H182=0),0,MIN((VLOOKUP($E182,$A$232:$C$241,3,0))*(IF($E182=6,$W182,$O182))*((MIN((VLOOKUP($E182,$A$232:$E$241,5,0)),(IF($E182=6,$O182,$W182))))),MIN((VLOOKUP($E182,$A$232:$C$241,3,0)),($F182+$G182))*(IF($E182=6,$W182,((MIN((VLOOKUP($E182,$A$232:$E$241,5,0)),$W182)))))))))*$X182</f>
        <v>0</v>
      </c>
      <c r="AA182" s="139">
        <f t="shared" si="22"/>
        <v>0</v>
      </c>
      <c r="AB182" s="126"/>
      <c r="AC182" s="295"/>
      <c r="AD182" s="295"/>
      <c r="AF182" s="359">
        <f t="shared" si="29"/>
        <v>0</v>
      </c>
    </row>
    <row r="183" spans="1:32" s="22" customFormat="1" ht="24.75" customHeight="1" outlineLevel="1" x14ac:dyDescent="0.2">
      <c r="A183" s="177">
        <v>180</v>
      </c>
      <c r="B183" s="325"/>
      <c r="C183" s="334"/>
      <c r="D183" s="334"/>
      <c r="E183" s="326"/>
      <c r="F183" s="327"/>
      <c r="G183" s="328"/>
      <c r="H183" s="329"/>
      <c r="I183" s="329"/>
      <c r="J183" s="330"/>
      <c r="K183" s="331">
        <f>(IF(OR($B183=0,$C183=0,$D183=0),0,IF(OR($E183=0,($G183+$F183=0),$H183=0),0,MIN((VLOOKUP($E183,$A$232:$C$241,3,0))*(IF($E183=6,$I183,$H183))*((MIN((VLOOKUP($E183,$A$232:$E$241,5,0)),(IF($E183=6,$H183,$I183))))),MIN((VLOOKUP($E183,$A$232:$C$241,3,0)),($F183+$G183))*(IF($E183=6,$I183,((MIN((VLOOKUP($E183,$A$232:$E$241,5,0)),$I183)))))))))*$J183</f>
        <v>0</v>
      </c>
      <c r="L183" s="332">
        <f t="shared" si="23"/>
        <v>0</v>
      </c>
      <c r="M183" s="333">
        <f t="shared" si="24"/>
        <v>0</v>
      </c>
      <c r="N183" s="277" t="str">
        <f>IF(E183&gt;0,MIN((VLOOKUP($E183,$A$232:$C$241,3,0)),($F183+$G183)),"")</f>
        <v/>
      </c>
      <c r="O183" s="273">
        <f>IF(E183=6,(MIN(VLOOKUP($E183,$A$232:$E$241,5,0),H183)),H183)</f>
        <v>0</v>
      </c>
      <c r="P183" s="272">
        <f>IF(E183=6,I183,IF(E183&gt;0,MIN((VLOOKUP($E183,$A$232:$E$241,5,0)),(I183)),0))*(1-$T$2)</f>
        <v>0</v>
      </c>
      <c r="Q183" s="62">
        <f t="shared" si="25"/>
        <v>0</v>
      </c>
      <c r="R183" s="274" t="str">
        <f t="shared" si="26"/>
        <v/>
      </c>
      <c r="S183" s="269">
        <f>(IF(OR($B183=0,$C183=0,$D183=0),0,IF(OR($E183=0,($G183+$F183=0),$H183=0),0,MIN((VLOOKUP($E183,$A$232:$C$241,3,0))*(IF($E183=6,$P183,$O183))*((MIN((VLOOKUP($E183,$A$232:$E$241,5,0)),(IF($E183=6,$O183,$P183))))),MIN((VLOOKUP($E183,$A$232:$C$241,3,0)),($F183+$G183))*(IF($E183=6,$P183,((MIN((VLOOKUP($E183,$A$232:$E$241,5,0)),$P183)))))))))*$Q183</f>
        <v>0</v>
      </c>
      <c r="T183" s="101">
        <f t="shared" si="27"/>
        <v>0</v>
      </c>
      <c r="U183" s="122"/>
      <c r="V183" s="300"/>
      <c r="W183" s="131">
        <f t="shared" si="30"/>
        <v>0</v>
      </c>
      <c r="X183" s="62">
        <f t="shared" si="28"/>
        <v>0</v>
      </c>
      <c r="Y183" s="63" t="str">
        <f t="shared" si="21"/>
        <v/>
      </c>
      <c r="Z183" s="133">
        <f>(IF(OR($B183=0,$C183=0,$D183=0),0,IF(OR($E183=0,($G183+$F183=0),$H183=0),0,MIN((VLOOKUP($E183,$A$232:$C$241,3,0))*(IF($E183=6,$W183,$O183))*((MIN((VLOOKUP($E183,$A$232:$E$241,5,0)),(IF($E183=6,$O183,$W183))))),MIN((VLOOKUP($E183,$A$232:$C$241,3,0)),($F183+$G183))*(IF($E183=6,$W183,((MIN((VLOOKUP($E183,$A$232:$E$241,5,0)),$W183)))))))))*$X183</f>
        <v>0</v>
      </c>
      <c r="AA183" s="139">
        <f t="shared" si="22"/>
        <v>0</v>
      </c>
      <c r="AB183" s="126"/>
      <c r="AC183" s="295"/>
      <c r="AD183" s="295"/>
      <c r="AF183" s="359">
        <f t="shared" si="29"/>
        <v>0</v>
      </c>
    </row>
    <row r="184" spans="1:32" s="22" customFormat="1" ht="24.75" customHeight="1" outlineLevel="1" x14ac:dyDescent="0.2">
      <c r="A184" s="177">
        <v>181</v>
      </c>
      <c r="B184" s="325"/>
      <c r="C184" s="334"/>
      <c r="D184" s="334"/>
      <c r="E184" s="326"/>
      <c r="F184" s="327"/>
      <c r="G184" s="328"/>
      <c r="H184" s="329"/>
      <c r="I184" s="329"/>
      <c r="J184" s="330"/>
      <c r="K184" s="331">
        <f>(IF(OR($B184=0,$C184=0,$D184=0),0,IF(OR($E184=0,($G184+$F184=0),$H184=0),0,MIN((VLOOKUP($E184,$A$232:$C$241,3,0))*(IF($E184=6,$I184,$H184))*((MIN((VLOOKUP($E184,$A$232:$E$241,5,0)),(IF($E184=6,$H184,$I184))))),MIN((VLOOKUP($E184,$A$232:$C$241,3,0)),($F184+$G184))*(IF($E184=6,$I184,((MIN((VLOOKUP($E184,$A$232:$E$241,5,0)),$I184)))))))))*$J184</f>
        <v>0</v>
      </c>
      <c r="L184" s="332">
        <f t="shared" si="23"/>
        <v>0</v>
      </c>
      <c r="M184" s="333">
        <f t="shared" si="24"/>
        <v>0</v>
      </c>
      <c r="N184" s="277" t="str">
        <f>IF(E184&gt;0,MIN((VLOOKUP($E184,$A$232:$C$241,3,0)),($F184+$G184)),"")</f>
        <v/>
      </c>
      <c r="O184" s="273">
        <f>IF(E184=6,(MIN(VLOOKUP($E184,$A$232:$E$241,5,0),H184)),H184)</f>
        <v>0</v>
      </c>
      <c r="P184" s="272">
        <f>IF(E184=6,I184,IF(E184&gt;0,MIN((VLOOKUP($E184,$A$232:$E$241,5,0)),(I184)),0))*(1-$T$2)</f>
        <v>0</v>
      </c>
      <c r="Q184" s="62">
        <f t="shared" si="25"/>
        <v>0</v>
      </c>
      <c r="R184" s="274" t="str">
        <f t="shared" si="26"/>
        <v/>
      </c>
      <c r="S184" s="269">
        <f>(IF(OR($B184=0,$C184=0,$D184=0),0,IF(OR($E184=0,($G184+$F184=0),$H184=0),0,MIN((VLOOKUP($E184,$A$232:$C$241,3,0))*(IF($E184=6,$P184,$O184))*((MIN((VLOOKUP($E184,$A$232:$E$241,5,0)),(IF($E184=6,$O184,$P184))))),MIN((VLOOKUP($E184,$A$232:$C$241,3,0)),($F184+$G184))*(IF($E184=6,$P184,((MIN((VLOOKUP($E184,$A$232:$E$241,5,0)),$P184)))))))))*$Q184</f>
        <v>0</v>
      </c>
      <c r="T184" s="101">
        <f t="shared" si="27"/>
        <v>0</v>
      </c>
      <c r="U184" s="122"/>
      <c r="V184" s="300"/>
      <c r="W184" s="131">
        <f t="shared" si="30"/>
        <v>0</v>
      </c>
      <c r="X184" s="62">
        <f t="shared" si="28"/>
        <v>0</v>
      </c>
      <c r="Y184" s="63" t="str">
        <f t="shared" si="21"/>
        <v/>
      </c>
      <c r="Z184" s="133">
        <f>(IF(OR($B184=0,$C184=0,$D184=0),0,IF(OR($E184=0,($G184+$F184=0),$H184=0),0,MIN((VLOOKUP($E184,$A$232:$C$241,3,0))*(IF($E184=6,$W184,$O184))*((MIN((VLOOKUP($E184,$A$232:$E$241,5,0)),(IF($E184=6,$O184,$W184))))),MIN((VLOOKUP($E184,$A$232:$C$241,3,0)),($F184+$G184))*(IF($E184=6,$W184,((MIN((VLOOKUP($E184,$A$232:$E$241,5,0)),$W184)))))))))*$X184</f>
        <v>0</v>
      </c>
      <c r="AA184" s="139">
        <f t="shared" si="22"/>
        <v>0</v>
      </c>
      <c r="AB184" s="126"/>
      <c r="AC184" s="295"/>
      <c r="AD184" s="295"/>
      <c r="AF184" s="359">
        <f t="shared" si="29"/>
        <v>0</v>
      </c>
    </row>
    <row r="185" spans="1:32" s="22" customFormat="1" ht="24.75" customHeight="1" outlineLevel="1" x14ac:dyDescent="0.2">
      <c r="A185" s="177">
        <v>182</v>
      </c>
      <c r="B185" s="325"/>
      <c r="C185" s="334"/>
      <c r="D185" s="334"/>
      <c r="E185" s="326"/>
      <c r="F185" s="327"/>
      <c r="G185" s="328"/>
      <c r="H185" s="329"/>
      <c r="I185" s="329"/>
      <c r="J185" s="330"/>
      <c r="K185" s="331">
        <f>(IF(OR($B185=0,$C185=0,$D185=0),0,IF(OR($E185=0,($G185+$F185=0),$H185=0),0,MIN((VLOOKUP($E185,$A$232:$C$241,3,0))*(IF($E185=6,$I185,$H185))*((MIN((VLOOKUP($E185,$A$232:$E$241,5,0)),(IF($E185=6,$H185,$I185))))),MIN((VLOOKUP($E185,$A$232:$C$241,3,0)),($F185+$G185))*(IF($E185=6,$I185,((MIN((VLOOKUP($E185,$A$232:$E$241,5,0)),$I185)))))))))*$J185</f>
        <v>0</v>
      </c>
      <c r="L185" s="332">
        <f t="shared" si="23"/>
        <v>0</v>
      </c>
      <c r="M185" s="333">
        <f t="shared" si="24"/>
        <v>0</v>
      </c>
      <c r="N185" s="277" t="str">
        <f>IF(E185&gt;0,MIN((VLOOKUP($E185,$A$232:$C$241,3,0)),($F185+$G185)),"")</f>
        <v/>
      </c>
      <c r="O185" s="273">
        <f>IF(E185=6,(MIN(VLOOKUP($E185,$A$232:$E$241,5,0),H185)),H185)</f>
        <v>0</v>
      </c>
      <c r="P185" s="272">
        <f>IF(E185=6,I185,IF(E185&gt;0,MIN((VLOOKUP($E185,$A$232:$E$241,5,0)),(I185)),0))*(1-$T$2)</f>
        <v>0</v>
      </c>
      <c r="Q185" s="62">
        <f t="shared" si="25"/>
        <v>0</v>
      </c>
      <c r="R185" s="274" t="str">
        <f t="shared" si="26"/>
        <v/>
      </c>
      <c r="S185" s="269">
        <f>(IF(OR($B185=0,$C185=0,$D185=0),0,IF(OR($E185=0,($G185+$F185=0),$H185=0),0,MIN((VLOOKUP($E185,$A$232:$C$241,3,0))*(IF($E185=6,$P185,$O185))*((MIN((VLOOKUP($E185,$A$232:$E$241,5,0)),(IF($E185=6,$O185,$P185))))),MIN((VLOOKUP($E185,$A$232:$C$241,3,0)),($F185+$G185))*(IF($E185=6,$P185,((MIN((VLOOKUP($E185,$A$232:$E$241,5,0)),$P185)))))))))*$Q185</f>
        <v>0</v>
      </c>
      <c r="T185" s="101">
        <f t="shared" si="27"/>
        <v>0</v>
      </c>
      <c r="U185" s="122"/>
      <c r="V185" s="300"/>
      <c r="W185" s="131">
        <f t="shared" si="30"/>
        <v>0</v>
      </c>
      <c r="X185" s="62">
        <f t="shared" si="28"/>
        <v>0</v>
      </c>
      <c r="Y185" s="63" t="str">
        <f t="shared" si="21"/>
        <v/>
      </c>
      <c r="Z185" s="133">
        <f>(IF(OR($B185=0,$C185=0,$D185=0),0,IF(OR($E185=0,($G185+$F185=0),$H185=0),0,MIN((VLOOKUP($E185,$A$232:$C$241,3,0))*(IF($E185=6,$W185,$O185))*((MIN((VLOOKUP($E185,$A$232:$E$241,5,0)),(IF($E185=6,$O185,$W185))))),MIN((VLOOKUP($E185,$A$232:$C$241,3,0)),($F185+$G185))*(IF($E185=6,$W185,((MIN((VLOOKUP($E185,$A$232:$E$241,5,0)),$W185)))))))))*$X185</f>
        <v>0</v>
      </c>
      <c r="AA185" s="139">
        <f t="shared" si="22"/>
        <v>0</v>
      </c>
      <c r="AB185" s="126"/>
      <c r="AC185" s="295"/>
      <c r="AD185" s="295"/>
      <c r="AF185" s="359">
        <f t="shared" si="29"/>
        <v>0</v>
      </c>
    </row>
    <row r="186" spans="1:32" s="22" customFormat="1" ht="24.75" customHeight="1" outlineLevel="1" x14ac:dyDescent="0.2">
      <c r="A186" s="177">
        <v>183</v>
      </c>
      <c r="B186" s="325"/>
      <c r="C186" s="334"/>
      <c r="D186" s="334"/>
      <c r="E186" s="326"/>
      <c r="F186" s="327"/>
      <c r="G186" s="328"/>
      <c r="H186" s="329"/>
      <c r="I186" s="329"/>
      <c r="J186" s="330"/>
      <c r="K186" s="331">
        <f>(IF(OR($B186=0,$C186=0,$D186=0),0,IF(OR($E186=0,($G186+$F186=0),$H186=0),0,MIN((VLOOKUP($E186,$A$232:$C$241,3,0))*(IF($E186=6,$I186,$H186))*((MIN((VLOOKUP($E186,$A$232:$E$241,5,0)),(IF($E186=6,$H186,$I186))))),MIN((VLOOKUP($E186,$A$232:$C$241,3,0)),($F186+$G186))*(IF($E186=6,$I186,((MIN((VLOOKUP($E186,$A$232:$E$241,5,0)),$I186)))))))))*$J186</f>
        <v>0</v>
      </c>
      <c r="L186" s="332">
        <f t="shared" si="23"/>
        <v>0</v>
      </c>
      <c r="M186" s="333">
        <f t="shared" si="24"/>
        <v>0</v>
      </c>
      <c r="N186" s="277" t="str">
        <f>IF(E186&gt;0,MIN((VLOOKUP($E186,$A$232:$C$241,3,0)),($F186+$G186)),"")</f>
        <v/>
      </c>
      <c r="O186" s="273">
        <f>IF(E186=6,(MIN(VLOOKUP($E186,$A$232:$E$241,5,0),H186)),H186)</f>
        <v>0</v>
      </c>
      <c r="P186" s="272">
        <f>IF(E186=6,I186,IF(E186&gt;0,MIN((VLOOKUP($E186,$A$232:$E$241,5,0)),(I186)),0))*(1-$T$2)</f>
        <v>0</v>
      </c>
      <c r="Q186" s="62">
        <f t="shared" si="25"/>
        <v>0</v>
      </c>
      <c r="R186" s="274" t="str">
        <f t="shared" si="26"/>
        <v/>
      </c>
      <c r="S186" s="269">
        <f>(IF(OR($B186=0,$C186=0,$D186=0),0,IF(OR($E186=0,($G186+$F186=0),$H186=0),0,MIN((VLOOKUP($E186,$A$232:$C$241,3,0))*(IF($E186=6,$P186,$O186))*((MIN((VLOOKUP($E186,$A$232:$E$241,5,0)),(IF($E186=6,$O186,$P186))))),MIN((VLOOKUP($E186,$A$232:$C$241,3,0)),($F186+$G186))*(IF($E186=6,$P186,((MIN((VLOOKUP($E186,$A$232:$E$241,5,0)),$P186)))))))))*$Q186</f>
        <v>0</v>
      </c>
      <c r="T186" s="101">
        <f t="shared" si="27"/>
        <v>0</v>
      </c>
      <c r="U186" s="122"/>
      <c r="V186" s="300"/>
      <c r="W186" s="131">
        <f t="shared" si="30"/>
        <v>0</v>
      </c>
      <c r="X186" s="62">
        <f t="shared" si="28"/>
        <v>0</v>
      </c>
      <c r="Y186" s="63" t="str">
        <f t="shared" si="21"/>
        <v/>
      </c>
      <c r="Z186" s="133">
        <f>(IF(OR($B186=0,$C186=0,$D186=0),0,IF(OR($E186=0,($G186+$F186=0),$H186=0),0,MIN((VLOOKUP($E186,$A$232:$C$241,3,0))*(IF($E186=6,$W186,$O186))*((MIN((VLOOKUP($E186,$A$232:$E$241,5,0)),(IF($E186=6,$O186,$W186))))),MIN((VLOOKUP($E186,$A$232:$C$241,3,0)),($F186+$G186))*(IF($E186=6,$W186,((MIN((VLOOKUP($E186,$A$232:$E$241,5,0)),$W186)))))))))*$X186</f>
        <v>0</v>
      </c>
      <c r="AA186" s="139">
        <f t="shared" si="22"/>
        <v>0</v>
      </c>
      <c r="AB186" s="126"/>
      <c r="AC186" s="295"/>
      <c r="AD186" s="295"/>
      <c r="AF186" s="359">
        <f t="shared" si="29"/>
        <v>0</v>
      </c>
    </row>
    <row r="187" spans="1:32" s="22" customFormat="1" ht="24.75" customHeight="1" outlineLevel="1" x14ac:dyDescent="0.2">
      <c r="A187" s="177">
        <v>184</v>
      </c>
      <c r="B187" s="325"/>
      <c r="C187" s="334"/>
      <c r="D187" s="334"/>
      <c r="E187" s="326"/>
      <c r="F187" s="327"/>
      <c r="G187" s="328"/>
      <c r="H187" s="329"/>
      <c r="I187" s="329"/>
      <c r="J187" s="330"/>
      <c r="K187" s="331">
        <f>(IF(OR($B187=0,$C187=0,$D187=0),0,IF(OR($E187=0,($G187+$F187=0),$H187=0),0,MIN((VLOOKUP($E187,$A$232:$C$241,3,0))*(IF($E187=6,$I187,$H187))*((MIN((VLOOKUP($E187,$A$232:$E$241,5,0)),(IF($E187=6,$H187,$I187))))),MIN((VLOOKUP($E187,$A$232:$C$241,3,0)),($F187+$G187))*(IF($E187=6,$I187,((MIN((VLOOKUP($E187,$A$232:$E$241,5,0)),$I187)))))))))*$J187</f>
        <v>0</v>
      </c>
      <c r="L187" s="332">
        <f t="shared" si="23"/>
        <v>0</v>
      </c>
      <c r="M187" s="333">
        <f t="shared" si="24"/>
        <v>0</v>
      </c>
      <c r="N187" s="277" t="str">
        <f>IF(E187&gt;0,MIN((VLOOKUP($E187,$A$232:$C$241,3,0)),($F187+$G187)),"")</f>
        <v/>
      </c>
      <c r="O187" s="273">
        <f>IF(E187=6,(MIN(VLOOKUP($E187,$A$232:$E$241,5,0),H187)),H187)</f>
        <v>0</v>
      </c>
      <c r="P187" s="272">
        <f>IF(E187=6,I187,IF(E187&gt;0,MIN((VLOOKUP($E187,$A$232:$E$241,5,0)),(I187)),0))*(1-$T$2)</f>
        <v>0</v>
      </c>
      <c r="Q187" s="62">
        <f t="shared" si="25"/>
        <v>0</v>
      </c>
      <c r="R187" s="274" t="str">
        <f t="shared" si="26"/>
        <v/>
      </c>
      <c r="S187" s="269">
        <f>(IF(OR($B187=0,$C187=0,$D187=0),0,IF(OR($E187=0,($G187+$F187=0),$H187=0),0,MIN((VLOOKUP($E187,$A$232:$C$241,3,0))*(IF($E187=6,$P187,$O187))*((MIN((VLOOKUP($E187,$A$232:$E$241,5,0)),(IF($E187=6,$O187,$P187))))),MIN((VLOOKUP($E187,$A$232:$C$241,3,0)),($F187+$G187))*(IF($E187=6,$P187,((MIN((VLOOKUP($E187,$A$232:$E$241,5,0)),$P187)))))))))*$Q187</f>
        <v>0</v>
      </c>
      <c r="T187" s="101">
        <f t="shared" si="27"/>
        <v>0</v>
      </c>
      <c r="U187" s="122"/>
      <c r="V187" s="300"/>
      <c r="W187" s="131">
        <f t="shared" si="30"/>
        <v>0</v>
      </c>
      <c r="X187" s="62">
        <f t="shared" si="28"/>
        <v>0</v>
      </c>
      <c r="Y187" s="63" t="str">
        <f t="shared" si="21"/>
        <v/>
      </c>
      <c r="Z187" s="133">
        <f>(IF(OR($B187=0,$C187=0,$D187=0),0,IF(OR($E187=0,($G187+$F187=0),$H187=0),0,MIN((VLOOKUP($E187,$A$232:$C$241,3,0))*(IF($E187=6,$W187,$O187))*((MIN((VLOOKUP($E187,$A$232:$E$241,5,0)),(IF($E187=6,$O187,$W187))))),MIN((VLOOKUP($E187,$A$232:$C$241,3,0)),($F187+$G187))*(IF($E187=6,$W187,((MIN((VLOOKUP($E187,$A$232:$E$241,5,0)),$W187)))))))))*$X187</f>
        <v>0</v>
      </c>
      <c r="AA187" s="139">
        <f t="shared" si="22"/>
        <v>0</v>
      </c>
      <c r="AB187" s="126"/>
      <c r="AC187" s="295"/>
      <c r="AD187" s="295"/>
      <c r="AF187" s="359">
        <f t="shared" si="29"/>
        <v>0</v>
      </c>
    </row>
    <row r="188" spans="1:32" s="22" customFormat="1" ht="24.75" customHeight="1" outlineLevel="1" x14ac:dyDescent="0.2">
      <c r="A188" s="177">
        <v>185</v>
      </c>
      <c r="B188" s="325"/>
      <c r="C188" s="334"/>
      <c r="D188" s="334"/>
      <c r="E188" s="326"/>
      <c r="F188" s="327"/>
      <c r="G188" s="328"/>
      <c r="H188" s="329"/>
      <c r="I188" s="329"/>
      <c r="J188" s="330"/>
      <c r="K188" s="331">
        <f>(IF(OR($B188=0,$C188=0,$D188=0),0,IF(OR($E188=0,($G188+$F188=0),$H188=0),0,MIN((VLOOKUP($E188,$A$232:$C$241,3,0))*(IF($E188=6,$I188,$H188))*((MIN((VLOOKUP($E188,$A$232:$E$241,5,0)),(IF($E188=6,$H188,$I188))))),MIN((VLOOKUP($E188,$A$232:$C$241,3,0)),($F188+$G188))*(IF($E188=6,$I188,((MIN((VLOOKUP($E188,$A$232:$E$241,5,0)),$I188)))))))))*$J188</f>
        <v>0</v>
      </c>
      <c r="L188" s="332">
        <f t="shared" si="23"/>
        <v>0</v>
      </c>
      <c r="M188" s="333">
        <f t="shared" si="24"/>
        <v>0</v>
      </c>
      <c r="N188" s="277" t="str">
        <f>IF(E188&gt;0,MIN((VLOOKUP($E188,$A$232:$C$241,3,0)),($F188+$G188)),"")</f>
        <v/>
      </c>
      <c r="O188" s="273">
        <f>IF(E188=6,(MIN(VLOOKUP($E188,$A$232:$E$241,5,0),H188)),H188)</f>
        <v>0</v>
      </c>
      <c r="P188" s="272">
        <f>IF(E188=6,I188,IF(E188&gt;0,MIN((VLOOKUP($E188,$A$232:$E$241,5,0)),(I188)),0))*(1-$T$2)</f>
        <v>0</v>
      </c>
      <c r="Q188" s="62">
        <f t="shared" si="25"/>
        <v>0</v>
      </c>
      <c r="R188" s="274" t="str">
        <f t="shared" si="26"/>
        <v/>
      </c>
      <c r="S188" s="269">
        <f>(IF(OR($B188=0,$C188=0,$D188=0),0,IF(OR($E188=0,($G188+$F188=0),$H188=0),0,MIN((VLOOKUP($E188,$A$232:$C$241,3,0))*(IF($E188=6,$P188,$O188))*((MIN((VLOOKUP($E188,$A$232:$E$241,5,0)),(IF($E188=6,$O188,$P188))))),MIN((VLOOKUP($E188,$A$232:$C$241,3,0)),($F188+$G188))*(IF($E188=6,$P188,((MIN((VLOOKUP($E188,$A$232:$E$241,5,0)),$P188)))))))))*$Q188</f>
        <v>0</v>
      </c>
      <c r="T188" s="101">
        <f t="shared" si="27"/>
        <v>0</v>
      </c>
      <c r="U188" s="122"/>
      <c r="V188" s="300"/>
      <c r="W188" s="131">
        <f t="shared" si="30"/>
        <v>0</v>
      </c>
      <c r="X188" s="62">
        <f t="shared" si="28"/>
        <v>0</v>
      </c>
      <c r="Y188" s="63" t="str">
        <f t="shared" si="21"/>
        <v/>
      </c>
      <c r="Z188" s="133">
        <f>(IF(OR($B188=0,$C188=0,$D188=0),0,IF(OR($E188=0,($G188+$F188=0),$H188=0),0,MIN((VLOOKUP($E188,$A$232:$C$241,3,0))*(IF($E188=6,$W188,$O188))*((MIN((VLOOKUP($E188,$A$232:$E$241,5,0)),(IF($E188=6,$O188,$W188))))),MIN((VLOOKUP($E188,$A$232:$C$241,3,0)),($F188+$G188))*(IF($E188=6,$W188,((MIN((VLOOKUP($E188,$A$232:$E$241,5,0)),$W188)))))))))*$X188</f>
        <v>0</v>
      </c>
      <c r="AA188" s="139">
        <f t="shared" si="22"/>
        <v>0</v>
      </c>
      <c r="AB188" s="126"/>
      <c r="AC188" s="295"/>
      <c r="AD188" s="295"/>
      <c r="AF188" s="359">
        <f t="shared" si="29"/>
        <v>0</v>
      </c>
    </row>
    <row r="189" spans="1:32" s="22" customFormat="1" ht="24.75" customHeight="1" outlineLevel="1" x14ac:dyDescent="0.2">
      <c r="A189" s="177">
        <v>186</v>
      </c>
      <c r="B189" s="325"/>
      <c r="C189" s="334"/>
      <c r="D189" s="334"/>
      <c r="E189" s="326"/>
      <c r="F189" s="327"/>
      <c r="G189" s="328"/>
      <c r="H189" s="329"/>
      <c r="I189" s="329"/>
      <c r="J189" s="330"/>
      <c r="K189" s="331">
        <f>(IF(OR($B189=0,$C189=0,$D189=0),0,IF(OR($E189=0,($G189+$F189=0),$H189=0),0,MIN((VLOOKUP($E189,$A$232:$C$241,3,0))*(IF($E189=6,$I189,$H189))*((MIN((VLOOKUP($E189,$A$232:$E$241,5,0)),(IF($E189=6,$H189,$I189))))),MIN((VLOOKUP($E189,$A$232:$C$241,3,0)),($F189+$G189))*(IF($E189=6,$I189,((MIN((VLOOKUP($E189,$A$232:$E$241,5,0)),$I189)))))))))*$J189</f>
        <v>0</v>
      </c>
      <c r="L189" s="332">
        <f t="shared" si="23"/>
        <v>0</v>
      </c>
      <c r="M189" s="333">
        <f t="shared" si="24"/>
        <v>0</v>
      </c>
      <c r="N189" s="277" t="str">
        <f>IF(E189&gt;0,MIN((VLOOKUP($E189,$A$232:$C$241,3,0)),($F189+$G189)),"")</f>
        <v/>
      </c>
      <c r="O189" s="273">
        <f>IF(E189=6,(MIN(VLOOKUP($E189,$A$232:$E$241,5,0),H189)),H189)</f>
        <v>0</v>
      </c>
      <c r="P189" s="272">
        <f>IF(E189=6,I189,IF(E189&gt;0,MIN((VLOOKUP($E189,$A$232:$E$241,5,0)),(I189)),0))*(1-$T$2)</f>
        <v>0</v>
      </c>
      <c r="Q189" s="62">
        <f t="shared" si="25"/>
        <v>0</v>
      </c>
      <c r="R189" s="274" t="str">
        <f t="shared" si="26"/>
        <v/>
      </c>
      <c r="S189" s="269">
        <f>(IF(OR($B189=0,$C189=0,$D189=0),0,IF(OR($E189=0,($G189+$F189=0),$H189=0),0,MIN((VLOOKUP($E189,$A$232:$C$241,3,0))*(IF($E189=6,$P189,$O189))*((MIN((VLOOKUP($E189,$A$232:$E$241,5,0)),(IF($E189=6,$O189,$P189))))),MIN((VLOOKUP($E189,$A$232:$C$241,3,0)),($F189+$G189))*(IF($E189=6,$P189,((MIN((VLOOKUP($E189,$A$232:$E$241,5,0)),$P189)))))))))*$Q189</f>
        <v>0</v>
      </c>
      <c r="T189" s="101">
        <f t="shared" si="27"/>
        <v>0</v>
      </c>
      <c r="U189" s="122"/>
      <c r="V189" s="300"/>
      <c r="W189" s="131">
        <f t="shared" si="30"/>
        <v>0</v>
      </c>
      <c r="X189" s="62">
        <f t="shared" si="28"/>
        <v>0</v>
      </c>
      <c r="Y189" s="63" t="str">
        <f t="shared" si="21"/>
        <v/>
      </c>
      <c r="Z189" s="133">
        <f>(IF(OR($B189=0,$C189=0,$D189=0),0,IF(OR($E189=0,($G189+$F189=0),$H189=0),0,MIN((VLOOKUP($E189,$A$232:$C$241,3,0))*(IF($E189=6,$W189,$O189))*((MIN((VLOOKUP($E189,$A$232:$E$241,5,0)),(IF($E189=6,$O189,$W189))))),MIN((VLOOKUP($E189,$A$232:$C$241,3,0)),($F189+$G189))*(IF($E189=6,$W189,((MIN((VLOOKUP($E189,$A$232:$E$241,5,0)),$W189)))))))))*$X189</f>
        <v>0</v>
      </c>
      <c r="AA189" s="139">
        <f t="shared" si="22"/>
        <v>0</v>
      </c>
      <c r="AB189" s="126"/>
      <c r="AC189" s="295"/>
      <c r="AD189" s="295"/>
      <c r="AF189" s="359">
        <f t="shared" si="29"/>
        <v>0</v>
      </c>
    </row>
    <row r="190" spans="1:32" s="22" customFormat="1" ht="24.75" customHeight="1" outlineLevel="1" x14ac:dyDescent="0.2">
      <c r="A190" s="177">
        <v>187</v>
      </c>
      <c r="B190" s="325"/>
      <c r="C190" s="334"/>
      <c r="D190" s="334"/>
      <c r="E190" s="326"/>
      <c r="F190" s="327"/>
      <c r="G190" s="328"/>
      <c r="H190" s="329"/>
      <c r="I190" s="329"/>
      <c r="J190" s="330"/>
      <c r="K190" s="331">
        <f>(IF(OR($B190=0,$C190=0,$D190=0),0,IF(OR($E190=0,($G190+$F190=0),$H190=0),0,MIN((VLOOKUP($E190,$A$232:$C$241,3,0))*(IF($E190=6,$I190,$H190))*((MIN((VLOOKUP($E190,$A$232:$E$241,5,0)),(IF($E190=6,$H190,$I190))))),MIN((VLOOKUP($E190,$A$232:$C$241,3,0)),($F190+$G190))*(IF($E190=6,$I190,((MIN((VLOOKUP($E190,$A$232:$E$241,5,0)),$I190)))))))))*$J190</f>
        <v>0</v>
      </c>
      <c r="L190" s="332">
        <f t="shared" si="23"/>
        <v>0</v>
      </c>
      <c r="M190" s="333">
        <f t="shared" si="24"/>
        <v>0</v>
      </c>
      <c r="N190" s="277" t="str">
        <f>IF(E190&gt;0,MIN((VLOOKUP($E190,$A$232:$C$241,3,0)),($F190+$G190)),"")</f>
        <v/>
      </c>
      <c r="O190" s="273">
        <f>IF(E190=6,(MIN(VLOOKUP($E190,$A$232:$E$241,5,0),H190)),H190)</f>
        <v>0</v>
      </c>
      <c r="P190" s="272">
        <f>IF(E190=6,I190,IF(E190&gt;0,MIN((VLOOKUP($E190,$A$232:$E$241,5,0)),(I190)),0))*(1-$T$2)</f>
        <v>0</v>
      </c>
      <c r="Q190" s="62">
        <f t="shared" si="25"/>
        <v>0</v>
      </c>
      <c r="R190" s="274" t="str">
        <f t="shared" si="26"/>
        <v/>
      </c>
      <c r="S190" s="269">
        <f>(IF(OR($B190=0,$C190=0,$D190=0),0,IF(OR($E190=0,($G190+$F190=0),$H190=0),0,MIN((VLOOKUP($E190,$A$232:$C$241,3,0))*(IF($E190=6,$P190,$O190))*((MIN((VLOOKUP($E190,$A$232:$E$241,5,0)),(IF($E190=6,$O190,$P190))))),MIN((VLOOKUP($E190,$A$232:$C$241,3,0)),($F190+$G190))*(IF($E190=6,$P190,((MIN((VLOOKUP($E190,$A$232:$E$241,5,0)),$P190)))))))))*$Q190</f>
        <v>0</v>
      </c>
      <c r="T190" s="101">
        <f t="shared" si="27"/>
        <v>0</v>
      </c>
      <c r="U190" s="122"/>
      <c r="V190" s="300"/>
      <c r="W190" s="131">
        <f t="shared" si="30"/>
        <v>0</v>
      </c>
      <c r="X190" s="62">
        <f t="shared" si="28"/>
        <v>0</v>
      </c>
      <c r="Y190" s="63" t="str">
        <f t="shared" si="21"/>
        <v/>
      </c>
      <c r="Z190" s="133">
        <f>(IF(OR($B190=0,$C190=0,$D190=0),0,IF(OR($E190=0,($G190+$F190=0),$H190=0),0,MIN((VLOOKUP($E190,$A$232:$C$241,3,0))*(IF($E190=6,$W190,$O190))*((MIN((VLOOKUP($E190,$A$232:$E$241,5,0)),(IF($E190=6,$O190,$W190))))),MIN((VLOOKUP($E190,$A$232:$C$241,3,0)),($F190+$G190))*(IF($E190=6,$W190,((MIN((VLOOKUP($E190,$A$232:$E$241,5,0)),$W190)))))))))*$X190</f>
        <v>0</v>
      </c>
      <c r="AA190" s="139">
        <f t="shared" si="22"/>
        <v>0</v>
      </c>
      <c r="AB190" s="126"/>
      <c r="AC190" s="295"/>
      <c r="AD190" s="295"/>
      <c r="AF190" s="359">
        <f t="shared" si="29"/>
        <v>0</v>
      </c>
    </row>
    <row r="191" spans="1:32" s="22" customFormat="1" ht="24.75" customHeight="1" outlineLevel="1" x14ac:dyDescent="0.2">
      <c r="A191" s="177">
        <v>188</v>
      </c>
      <c r="B191" s="325"/>
      <c r="C191" s="334"/>
      <c r="D191" s="334"/>
      <c r="E191" s="326"/>
      <c r="F191" s="327"/>
      <c r="G191" s="328"/>
      <c r="H191" s="329"/>
      <c r="I191" s="329"/>
      <c r="J191" s="330"/>
      <c r="K191" s="331">
        <f>(IF(OR($B191=0,$C191=0,$D191=0),0,IF(OR($E191=0,($G191+$F191=0),$H191=0),0,MIN((VLOOKUP($E191,$A$232:$C$241,3,0))*(IF($E191=6,$I191,$H191))*((MIN((VLOOKUP($E191,$A$232:$E$241,5,0)),(IF($E191=6,$H191,$I191))))),MIN((VLOOKUP($E191,$A$232:$C$241,3,0)),($F191+$G191))*(IF($E191=6,$I191,((MIN((VLOOKUP($E191,$A$232:$E$241,5,0)),$I191)))))))))*$J191</f>
        <v>0</v>
      </c>
      <c r="L191" s="332">
        <f t="shared" si="23"/>
        <v>0</v>
      </c>
      <c r="M191" s="333">
        <f t="shared" si="24"/>
        <v>0</v>
      </c>
      <c r="N191" s="277" t="str">
        <f>IF(E191&gt;0,MIN((VLOOKUP($E191,$A$232:$C$241,3,0)),($F191+$G191)),"")</f>
        <v/>
      </c>
      <c r="O191" s="273">
        <f>IF(E191=6,(MIN(VLOOKUP($E191,$A$232:$E$241,5,0),H191)),H191)</f>
        <v>0</v>
      </c>
      <c r="P191" s="272">
        <f>IF(E191=6,I191,IF(E191&gt;0,MIN((VLOOKUP($E191,$A$232:$E$241,5,0)),(I191)),0))*(1-$T$2)</f>
        <v>0</v>
      </c>
      <c r="Q191" s="62">
        <f t="shared" si="25"/>
        <v>0</v>
      </c>
      <c r="R191" s="274" t="str">
        <f t="shared" si="26"/>
        <v/>
      </c>
      <c r="S191" s="269">
        <f>(IF(OR($B191=0,$C191=0,$D191=0),0,IF(OR($E191=0,($G191+$F191=0),$H191=0),0,MIN((VLOOKUP($E191,$A$232:$C$241,3,0))*(IF($E191=6,$P191,$O191))*((MIN((VLOOKUP($E191,$A$232:$E$241,5,0)),(IF($E191=6,$O191,$P191))))),MIN((VLOOKUP($E191,$A$232:$C$241,3,0)),($F191+$G191))*(IF($E191=6,$P191,((MIN((VLOOKUP($E191,$A$232:$E$241,5,0)),$P191)))))))))*$Q191</f>
        <v>0</v>
      </c>
      <c r="T191" s="101">
        <f t="shared" si="27"/>
        <v>0</v>
      </c>
      <c r="U191" s="122"/>
      <c r="V191" s="300"/>
      <c r="W191" s="131">
        <f t="shared" si="30"/>
        <v>0</v>
      </c>
      <c r="X191" s="62">
        <f t="shared" si="28"/>
        <v>0</v>
      </c>
      <c r="Y191" s="63" t="str">
        <f t="shared" si="21"/>
        <v/>
      </c>
      <c r="Z191" s="133">
        <f>(IF(OR($B191=0,$C191=0,$D191=0),0,IF(OR($E191=0,($G191+$F191=0),$H191=0),0,MIN((VLOOKUP($E191,$A$232:$C$241,3,0))*(IF($E191=6,$W191,$O191))*((MIN((VLOOKUP($E191,$A$232:$E$241,5,0)),(IF($E191=6,$O191,$W191))))),MIN((VLOOKUP($E191,$A$232:$C$241,3,0)),($F191+$G191))*(IF($E191=6,$W191,((MIN((VLOOKUP($E191,$A$232:$E$241,5,0)),$W191)))))))))*$X191</f>
        <v>0</v>
      </c>
      <c r="AA191" s="139">
        <f t="shared" si="22"/>
        <v>0</v>
      </c>
      <c r="AB191" s="126"/>
      <c r="AC191" s="295"/>
      <c r="AD191" s="295"/>
      <c r="AF191" s="359">
        <f t="shared" si="29"/>
        <v>0</v>
      </c>
    </row>
    <row r="192" spans="1:32" s="22" customFormat="1" ht="24.75" customHeight="1" outlineLevel="1" x14ac:dyDescent="0.2">
      <c r="A192" s="177">
        <v>189</v>
      </c>
      <c r="B192" s="325"/>
      <c r="C192" s="334"/>
      <c r="D192" s="334"/>
      <c r="E192" s="326"/>
      <c r="F192" s="327"/>
      <c r="G192" s="328"/>
      <c r="H192" s="329"/>
      <c r="I192" s="329"/>
      <c r="J192" s="330"/>
      <c r="K192" s="331">
        <f>(IF(OR($B192=0,$C192=0,$D192=0),0,IF(OR($E192=0,($G192+$F192=0),$H192=0),0,MIN((VLOOKUP($E192,$A$232:$C$241,3,0))*(IF($E192=6,$I192,$H192))*((MIN((VLOOKUP($E192,$A$232:$E$241,5,0)),(IF($E192=6,$H192,$I192))))),MIN((VLOOKUP($E192,$A$232:$C$241,3,0)),($F192+$G192))*(IF($E192=6,$I192,((MIN((VLOOKUP($E192,$A$232:$E$241,5,0)),$I192)))))))))*$J192</f>
        <v>0</v>
      </c>
      <c r="L192" s="332">
        <f t="shared" si="23"/>
        <v>0</v>
      </c>
      <c r="M192" s="333">
        <f t="shared" si="24"/>
        <v>0</v>
      </c>
      <c r="N192" s="277" t="str">
        <f>IF(E192&gt;0,MIN((VLOOKUP($E192,$A$232:$C$241,3,0)),($F192+$G192)),"")</f>
        <v/>
      </c>
      <c r="O192" s="273">
        <f>IF(E192=6,(MIN(VLOOKUP($E192,$A$232:$E$241,5,0),H192)),H192)</f>
        <v>0</v>
      </c>
      <c r="P192" s="272">
        <f>IF(E192=6,I192,IF(E192&gt;0,MIN((VLOOKUP($E192,$A$232:$E$241,5,0)),(I192)),0))*(1-$T$2)</f>
        <v>0</v>
      </c>
      <c r="Q192" s="62">
        <f t="shared" si="25"/>
        <v>0</v>
      </c>
      <c r="R192" s="274" t="str">
        <f t="shared" si="26"/>
        <v/>
      </c>
      <c r="S192" s="269">
        <f>(IF(OR($B192=0,$C192=0,$D192=0),0,IF(OR($E192=0,($G192+$F192=0),$H192=0),0,MIN((VLOOKUP($E192,$A$232:$C$241,3,0))*(IF($E192=6,$P192,$O192))*((MIN((VLOOKUP($E192,$A$232:$E$241,5,0)),(IF($E192=6,$O192,$P192))))),MIN((VLOOKUP($E192,$A$232:$C$241,3,0)),($F192+$G192))*(IF($E192=6,$P192,((MIN((VLOOKUP($E192,$A$232:$E$241,5,0)),$P192)))))))))*$Q192</f>
        <v>0</v>
      </c>
      <c r="T192" s="101">
        <f t="shared" si="27"/>
        <v>0</v>
      </c>
      <c r="U192" s="122"/>
      <c r="V192" s="300"/>
      <c r="W192" s="131">
        <f t="shared" si="30"/>
        <v>0</v>
      </c>
      <c r="X192" s="62">
        <f t="shared" si="28"/>
        <v>0</v>
      </c>
      <c r="Y192" s="63" t="str">
        <f t="shared" si="21"/>
        <v/>
      </c>
      <c r="Z192" s="133">
        <f>(IF(OR($B192=0,$C192=0,$D192=0),0,IF(OR($E192=0,($G192+$F192=0),$H192=0),0,MIN((VLOOKUP($E192,$A$232:$C$241,3,0))*(IF($E192=6,$W192,$O192))*((MIN((VLOOKUP($E192,$A$232:$E$241,5,0)),(IF($E192=6,$O192,$W192))))),MIN((VLOOKUP($E192,$A$232:$C$241,3,0)),($F192+$G192))*(IF($E192=6,$W192,((MIN((VLOOKUP($E192,$A$232:$E$241,5,0)),$W192)))))))))*$X192</f>
        <v>0</v>
      </c>
      <c r="AA192" s="139">
        <f t="shared" si="22"/>
        <v>0</v>
      </c>
      <c r="AB192" s="126"/>
      <c r="AC192" s="295"/>
      <c r="AD192" s="295"/>
      <c r="AF192" s="359">
        <f t="shared" si="29"/>
        <v>0</v>
      </c>
    </row>
    <row r="193" spans="1:32" s="22" customFormat="1" ht="24.75" customHeight="1" outlineLevel="1" x14ac:dyDescent="0.2">
      <c r="A193" s="177">
        <v>190</v>
      </c>
      <c r="B193" s="325"/>
      <c r="C193" s="334"/>
      <c r="D193" s="334"/>
      <c r="E193" s="326"/>
      <c r="F193" s="327"/>
      <c r="G193" s="328"/>
      <c r="H193" s="329"/>
      <c r="I193" s="329"/>
      <c r="J193" s="330"/>
      <c r="K193" s="331">
        <f>(IF(OR($B193=0,$C193=0,$D193=0),0,IF(OR($E193=0,($G193+$F193=0),$H193=0),0,MIN((VLOOKUP($E193,$A$232:$C$241,3,0))*(IF($E193=6,$I193,$H193))*((MIN((VLOOKUP($E193,$A$232:$E$241,5,0)),(IF($E193=6,$H193,$I193))))),MIN((VLOOKUP($E193,$A$232:$C$241,3,0)),($F193+$G193))*(IF($E193=6,$I193,((MIN((VLOOKUP($E193,$A$232:$E$241,5,0)),$I193)))))))))*$J193</f>
        <v>0</v>
      </c>
      <c r="L193" s="332">
        <f t="shared" si="23"/>
        <v>0</v>
      </c>
      <c r="M193" s="333">
        <f t="shared" si="24"/>
        <v>0</v>
      </c>
      <c r="N193" s="277" t="str">
        <f>IF(E193&gt;0,MIN((VLOOKUP($E193,$A$232:$C$241,3,0)),($F193+$G193)),"")</f>
        <v/>
      </c>
      <c r="O193" s="273">
        <f>IF(E193=6,(MIN(VLOOKUP($E193,$A$232:$E$241,5,0),H193)),H193)</f>
        <v>0</v>
      </c>
      <c r="P193" s="272">
        <f>IF(E193=6,I193,IF(E193&gt;0,MIN((VLOOKUP($E193,$A$232:$E$241,5,0)),(I193)),0))*(1-$T$2)</f>
        <v>0</v>
      </c>
      <c r="Q193" s="62">
        <f t="shared" si="25"/>
        <v>0</v>
      </c>
      <c r="R193" s="274" t="str">
        <f t="shared" si="26"/>
        <v/>
      </c>
      <c r="S193" s="269">
        <f>(IF(OR($B193=0,$C193=0,$D193=0),0,IF(OR($E193=0,($G193+$F193=0),$H193=0),0,MIN((VLOOKUP($E193,$A$232:$C$241,3,0))*(IF($E193=6,$P193,$O193))*((MIN((VLOOKUP($E193,$A$232:$E$241,5,0)),(IF($E193=6,$O193,$P193))))),MIN((VLOOKUP($E193,$A$232:$C$241,3,0)),($F193+$G193))*(IF($E193=6,$P193,((MIN((VLOOKUP($E193,$A$232:$E$241,5,0)),$P193)))))))))*$Q193</f>
        <v>0</v>
      </c>
      <c r="T193" s="101">
        <f t="shared" si="27"/>
        <v>0</v>
      </c>
      <c r="U193" s="122"/>
      <c r="V193" s="300"/>
      <c r="W193" s="131">
        <f t="shared" si="30"/>
        <v>0</v>
      </c>
      <c r="X193" s="62">
        <f t="shared" si="28"/>
        <v>0</v>
      </c>
      <c r="Y193" s="63" t="str">
        <f t="shared" si="21"/>
        <v/>
      </c>
      <c r="Z193" s="133">
        <f>(IF(OR($B193=0,$C193=0,$D193=0),0,IF(OR($E193=0,($G193+$F193=0),$H193=0),0,MIN((VLOOKUP($E193,$A$232:$C$241,3,0))*(IF($E193=6,$W193,$O193))*((MIN((VLOOKUP($E193,$A$232:$E$241,5,0)),(IF($E193=6,$O193,$W193))))),MIN((VLOOKUP($E193,$A$232:$C$241,3,0)),($F193+$G193))*(IF($E193=6,$W193,((MIN((VLOOKUP($E193,$A$232:$E$241,5,0)),$W193)))))))))*$X193</f>
        <v>0</v>
      </c>
      <c r="AA193" s="139">
        <f t="shared" si="22"/>
        <v>0</v>
      </c>
      <c r="AB193" s="126"/>
      <c r="AC193" s="295"/>
      <c r="AD193" s="295"/>
      <c r="AF193" s="359">
        <f t="shared" si="29"/>
        <v>0</v>
      </c>
    </row>
    <row r="194" spans="1:32" s="22" customFormat="1" ht="24.75" customHeight="1" outlineLevel="1" x14ac:dyDescent="0.2">
      <c r="A194" s="177">
        <v>191</v>
      </c>
      <c r="B194" s="325"/>
      <c r="C194" s="334"/>
      <c r="D194" s="334"/>
      <c r="E194" s="326"/>
      <c r="F194" s="327"/>
      <c r="G194" s="328"/>
      <c r="H194" s="329"/>
      <c r="I194" s="329"/>
      <c r="J194" s="330"/>
      <c r="K194" s="331">
        <f>(IF(OR($B194=0,$C194=0,$D194=0),0,IF(OR($E194=0,($G194+$F194=0),$H194=0),0,MIN((VLOOKUP($E194,$A$232:$C$241,3,0))*(IF($E194=6,$I194,$H194))*((MIN((VLOOKUP($E194,$A$232:$E$241,5,0)),(IF($E194=6,$H194,$I194))))),MIN((VLOOKUP($E194,$A$232:$C$241,3,0)),($F194+$G194))*(IF($E194=6,$I194,((MIN((VLOOKUP($E194,$A$232:$E$241,5,0)),$I194)))))))))*$J194</f>
        <v>0</v>
      </c>
      <c r="L194" s="332">
        <f t="shared" si="23"/>
        <v>0</v>
      </c>
      <c r="M194" s="333">
        <f t="shared" si="24"/>
        <v>0</v>
      </c>
      <c r="N194" s="277" t="str">
        <f>IF(E194&gt;0,MIN((VLOOKUP($E194,$A$232:$C$241,3,0)),($F194+$G194)),"")</f>
        <v/>
      </c>
      <c r="O194" s="273">
        <f>IF(E194=6,(MIN(VLOOKUP($E194,$A$232:$E$241,5,0),H194)),H194)</f>
        <v>0</v>
      </c>
      <c r="P194" s="272">
        <f>IF(E194=6,I194,IF(E194&gt;0,MIN((VLOOKUP($E194,$A$232:$E$241,5,0)),(I194)),0))*(1-$T$2)</f>
        <v>0</v>
      </c>
      <c r="Q194" s="62">
        <f t="shared" si="25"/>
        <v>0</v>
      </c>
      <c r="R194" s="274" t="str">
        <f t="shared" si="26"/>
        <v/>
      </c>
      <c r="S194" s="269">
        <f>(IF(OR($B194=0,$C194=0,$D194=0),0,IF(OR($E194=0,($G194+$F194=0),$H194=0),0,MIN((VLOOKUP($E194,$A$232:$C$241,3,0))*(IF($E194=6,$P194,$O194))*((MIN((VLOOKUP($E194,$A$232:$E$241,5,0)),(IF($E194=6,$O194,$P194))))),MIN((VLOOKUP($E194,$A$232:$C$241,3,0)),($F194+$G194))*(IF($E194=6,$P194,((MIN((VLOOKUP($E194,$A$232:$E$241,5,0)),$P194)))))))))*$Q194</f>
        <v>0</v>
      </c>
      <c r="T194" s="101">
        <f t="shared" si="27"/>
        <v>0</v>
      </c>
      <c r="U194" s="122"/>
      <c r="V194" s="300"/>
      <c r="W194" s="131">
        <f t="shared" si="30"/>
        <v>0</v>
      </c>
      <c r="X194" s="62">
        <f t="shared" si="28"/>
        <v>0</v>
      </c>
      <c r="Y194" s="63" t="str">
        <f t="shared" si="21"/>
        <v/>
      </c>
      <c r="Z194" s="133">
        <f>(IF(OR($B194=0,$C194=0,$D194=0),0,IF(OR($E194=0,($G194+$F194=0),$H194=0),0,MIN((VLOOKUP($E194,$A$232:$C$241,3,0))*(IF($E194=6,$W194,$O194))*((MIN((VLOOKUP($E194,$A$232:$E$241,5,0)),(IF($E194=6,$O194,$W194))))),MIN((VLOOKUP($E194,$A$232:$C$241,3,0)),($F194+$G194))*(IF($E194=6,$W194,((MIN((VLOOKUP($E194,$A$232:$E$241,5,0)),$W194)))))))))*$X194</f>
        <v>0</v>
      </c>
      <c r="AA194" s="139">
        <f t="shared" si="22"/>
        <v>0</v>
      </c>
      <c r="AB194" s="126"/>
      <c r="AC194" s="295"/>
      <c r="AD194" s="295"/>
      <c r="AF194" s="359">
        <f t="shared" si="29"/>
        <v>0</v>
      </c>
    </row>
    <row r="195" spans="1:32" s="22" customFormat="1" ht="24.75" customHeight="1" outlineLevel="1" x14ac:dyDescent="0.2">
      <c r="A195" s="177">
        <v>192</v>
      </c>
      <c r="B195" s="325"/>
      <c r="C195" s="334"/>
      <c r="D195" s="334"/>
      <c r="E195" s="326"/>
      <c r="F195" s="327"/>
      <c r="G195" s="328"/>
      <c r="H195" s="329"/>
      <c r="I195" s="329"/>
      <c r="J195" s="330"/>
      <c r="K195" s="331">
        <f>(IF(OR($B195=0,$C195=0,$D195=0),0,IF(OR($E195=0,($G195+$F195=0),$H195=0),0,MIN((VLOOKUP($E195,$A$232:$C$241,3,0))*(IF($E195=6,$I195,$H195))*((MIN((VLOOKUP($E195,$A$232:$E$241,5,0)),(IF($E195=6,$H195,$I195))))),MIN((VLOOKUP($E195,$A$232:$C$241,3,0)),($F195+$G195))*(IF($E195=6,$I195,((MIN((VLOOKUP($E195,$A$232:$E$241,5,0)),$I195)))))))))*$J195</f>
        <v>0</v>
      </c>
      <c r="L195" s="332">
        <f t="shared" si="23"/>
        <v>0</v>
      </c>
      <c r="M195" s="333">
        <f t="shared" si="24"/>
        <v>0</v>
      </c>
      <c r="N195" s="277" t="str">
        <f>IF(E195&gt;0,MIN((VLOOKUP($E195,$A$232:$C$241,3,0)),($F195+$G195)),"")</f>
        <v/>
      </c>
      <c r="O195" s="273">
        <f>IF(E195=6,(MIN(VLOOKUP($E195,$A$232:$E$241,5,0),H195)),H195)</f>
        <v>0</v>
      </c>
      <c r="P195" s="272">
        <f>IF(E195=6,I195,IF(E195&gt;0,MIN((VLOOKUP($E195,$A$232:$E$241,5,0)),(I195)),0))*(1-$T$2)</f>
        <v>0</v>
      </c>
      <c r="Q195" s="62">
        <f t="shared" si="25"/>
        <v>0</v>
      </c>
      <c r="R195" s="274" t="str">
        <f t="shared" si="26"/>
        <v/>
      </c>
      <c r="S195" s="269">
        <f>(IF(OR($B195=0,$C195=0,$D195=0),0,IF(OR($E195=0,($G195+$F195=0),$H195=0),0,MIN((VLOOKUP($E195,$A$232:$C$241,3,0))*(IF($E195=6,$P195,$O195))*((MIN((VLOOKUP($E195,$A$232:$E$241,5,0)),(IF($E195=6,$O195,$P195))))),MIN((VLOOKUP($E195,$A$232:$C$241,3,0)),($F195+$G195))*(IF($E195=6,$P195,((MIN((VLOOKUP($E195,$A$232:$E$241,5,0)),$P195)))))))))*$Q195</f>
        <v>0</v>
      </c>
      <c r="T195" s="101">
        <f t="shared" si="27"/>
        <v>0</v>
      </c>
      <c r="U195" s="122"/>
      <c r="V195" s="300"/>
      <c r="W195" s="131">
        <f t="shared" si="30"/>
        <v>0</v>
      </c>
      <c r="X195" s="62">
        <f t="shared" si="28"/>
        <v>0</v>
      </c>
      <c r="Y195" s="63" t="str">
        <f t="shared" si="21"/>
        <v/>
      </c>
      <c r="Z195" s="133">
        <f>(IF(OR($B195=0,$C195=0,$D195=0),0,IF(OR($E195=0,($G195+$F195=0),$H195=0),0,MIN((VLOOKUP($E195,$A$232:$C$241,3,0))*(IF($E195=6,$W195,$O195))*((MIN((VLOOKUP($E195,$A$232:$E$241,5,0)),(IF($E195=6,$O195,$W195))))),MIN((VLOOKUP($E195,$A$232:$C$241,3,0)),($F195+$G195))*(IF($E195=6,$W195,((MIN((VLOOKUP($E195,$A$232:$E$241,5,0)),$W195)))))))))*$X195</f>
        <v>0</v>
      </c>
      <c r="AA195" s="139">
        <f t="shared" si="22"/>
        <v>0</v>
      </c>
      <c r="AB195" s="126"/>
      <c r="AC195" s="295"/>
      <c r="AD195" s="295"/>
      <c r="AF195" s="359">
        <f t="shared" si="29"/>
        <v>0</v>
      </c>
    </row>
    <row r="196" spans="1:32" s="22" customFormat="1" ht="24.75" customHeight="1" outlineLevel="1" x14ac:dyDescent="0.2">
      <c r="A196" s="177">
        <v>193</v>
      </c>
      <c r="B196" s="325"/>
      <c r="C196" s="334"/>
      <c r="D196" s="334"/>
      <c r="E196" s="326"/>
      <c r="F196" s="327"/>
      <c r="G196" s="328"/>
      <c r="H196" s="329"/>
      <c r="I196" s="329"/>
      <c r="J196" s="330"/>
      <c r="K196" s="331">
        <f>(IF(OR($B196=0,$C196=0,$D196=0),0,IF(OR($E196=0,($G196+$F196=0),$H196=0),0,MIN((VLOOKUP($E196,$A$232:$C$241,3,0))*(IF($E196=6,$I196,$H196))*((MIN((VLOOKUP($E196,$A$232:$E$241,5,0)),(IF($E196=6,$H196,$I196))))),MIN((VLOOKUP($E196,$A$232:$C$241,3,0)),($F196+$G196))*(IF($E196=6,$I196,((MIN((VLOOKUP($E196,$A$232:$E$241,5,0)),$I196)))))))))*$J196</f>
        <v>0</v>
      </c>
      <c r="L196" s="332">
        <f t="shared" si="23"/>
        <v>0</v>
      </c>
      <c r="M196" s="333">
        <f t="shared" si="24"/>
        <v>0</v>
      </c>
      <c r="N196" s="277" t="str">
        <f>IF(E196&gt;0,MIN((VLOOKUP($E196,$A$232:$C$241,3,0)),($F196+$G196)),"")</f>
        <v/>
      </c>
      <c r="O196" s="273">
        <f>IF(E196=6,(MIN(VLOOKUP($E196,$A$232:$E$241,5,0),H196)),H196)</f>
        <v>0</v>
      </c>
      <c r="P196" s="272">
        <f>IF(E196=6,I196,IF(E196&gt;0,MIN((VLOOKUP($E196,$A$232:$E$241,5,0)),(I196)),0))*(1-$T$2)</f>
        <v>0</v>
      </c>
      <c r="Q196" s="62">
        <f t="shared" si="25"/>
        <v>0</v>
      </c>
      <c r="R196" s="274" t="str">
        <f t="shared" si="26"/>
        <v/>
      </c>
      <c r="S196" s="269">
        <f>(IF(OR($B196=0,$C196=0,$D196=0),0,IF(OR($E196=0,($G196+$F196=0),$H196=0),0,MIN((VLOOKUP($E196,$A$232:$C$241,3,0))*(IF($E196=6,$P196,$O196))*((MIN((VLOOKUP($E196,$A$232:$E$241,5,0)),(IF($E196=6,$O196,$P196))))),MIN((VLOOKUP($E196,$A$232:$C$241,3,0)),($F196+$G196))*(IF($E196=6,$P196,((MIN((VLOOKUP($E196,$A$232:$E$241,5,0)),$P196)))))))))*$Q196</f>
        <v>0</v>
      </c>
      <c r="T196" s="101">
        <f t="shared" si="27"/>
        <v>0</v>
      </c>
      <c r="U196" s="122"/>
      <c r="V196" s="300"/>
      <c r="W196" s="131">
        <f t="shared" si="30"/>
        <v>0</v>
      </c>
      <c r="X196" s="62">
        <f t="shared" si="28"/>
        <v>0</v>
      </c>
      <c r="Y196" s="63" t="str">
        <f t="shared" ref="Y196:Y223" si="31">IF(0.1&gt;W196,(IF(W196&gt;0.00001,"עצור: אחוז תעסוקה נמוך מ-10%","")),(IF(AND($AA$2&gt;0,W196&gt;0),(IF(($AA$2*P196=W196),"קיצוץ אחיד","נא להזין נימוק")),(IF((W196-P196=0),(IF((X196-Q196=0),"","נא להזין נימוק")),"נא להזין נימוק")))))</f>
        <v/>
      </c>
      <c r="Z196" s="133">
        <f>(IF(OR($B196=0,$C196=0,$D196=0),0,IF(OR($E196=0,($G196+$F196=0),$H196=0),0,MIN((VLOOKUP($E196,$A$232:$C$241,3,0))*(IF($E196=6,$W196,$O196))*((MIN((VLOOKUP($E196,$A$232:$E$241,5,0)),(IF($E196=6,$O196,$W196))))),MIN((VLOOKUP($E196,$A$232:$C$241,3,0)),($F196+$G196))*(IF($E196=6,$W196,((MIN((VLOOKUP($E196,$A$232:$E$241,5,0)),$W196)))))))))*$X196</f>
        <v>0</v>
      </c>
      <c r="AA196" s="139">
        <f t="shared" ref="AA196:AA223" si="32">O196*W196*X196/12</f>
        <v>0</v>
      </c>
      <c r="AB196" s="126"/>
      <c r="AC196" s="295"/>
      <c r="AD196" s="295"/>
      <c r="AF196" s="359">
        <f t="shared" si="29"/>
        <v>0</v>
      </c>
    </row>
    <row r="197" spans="1:32" s="22" customFormat="1" ht="24.75" customHeight="1" outlineLevel="1" x14ac:dyDescent="0.2">
      <c r="A197" s="177">
        <v>194</v>
      </c>
      <c r="B197" s="325"/>
      <c r="C197" s="334"/>
      <c r="D197" s="334"/>
      <c r="E197" s="326"/>
      <c r="F197" s="327"/>
      <c r="G197" s="328"/>
      <c r="H197" s="329"/>
      <c r="I197" s="329"/>
      <c r="J197" s="330"/>
      <c r="K197" s="331">
        <f>(IF(OR($B197=0,$C197=0,$D197=0),0,IF(OR($E197=0,($G197+$F197=0),$H197=0),0,MIN((VLOOKUP($E197,$A$232:$C$241,3,0))*(IF($E197=6,$I197,$H197))*((MIN((VLOOKUP($E197,$A$232:$E$241,5,0)),(IF($E197=6,$H197,$I197))))),MIN((VLOOKUP($E197,$A$232:$C$241,3,0)),($F197+$G197))*(IF($E197=6,$I197,((MIN((VLOOKUP($E197,$A$232:$E$241,5,0)),$I197)))))))))*$J197</f>
        <v>0</v>
      </c>
      <c r="L197" s="332">
        <f t="shared" ref="L197:L223" si="33">J197*I197*H197/12</f>
        <v>0</v>
      </c>
      <c r="M197" s="333">
        <f t="shared" ref="M197:M223" si="34">(F197+G197)*J197</f>
        <v>0</v>
      </c>
      <c r="N197" s="277" t="str">
        <f>IF(E197&gt;0,MIN((VLOOKUP($E197,$A$232:$C$241,3,0)),($F197+$G197)),"")</f>
        <v/>
      </c>
      <c r="O197" s="273">
        <f>IF(E197=6,(MIN(VLOOKUP($E197,$A$232:$E$241,5,0),H197)),H197)</f>
        <v>0</v>
      </c>
      <c r="P197" s="272">
        <f>IF(E197=6,I197,IF(E197&gt;0,MIN((VLOOKUP($E197,$A$232:$E$241,5,0)),(I197)),0))*(1-$T$2)</f>
        <v>0</v>
      </c>
      <c r="Q197" s="62">
        <f t="shared" ref="Q197:Q223" si="35">J197</f>
        <v>0</v>
      </c>
      <c r="R197" s="274" t="str">
        <f t="shared" ref="R197:R223" si="36">IF(AND(E197=6,O197&lt;H197,H197&gt;0.333333),"סגל אקדמי: משרה עד-33%",IF( 0.1&gt;P197,(IF(P197&gt;0.00001,"עצור: אחוז תעסוקה נמוך מ-10%","")),(IF(AND($T$2&gt;0,$T$2&lt;1,P197&gt;0),(IF(($T$2*I197=P197),"קיצוץ אחיד","נא להזין נימוק")),(IF((P197-I197=0),(IF((Q197-J197=0),"","נא להזין נימוק")),"נא להזין נימוק"))))))</f>
        <v/>
      </c>
      <c r="S197" s="269">
        <f>(IF(OR($B197=0,$C197=0,$D197=0),0,IF(OR($E197=0,($G197+$F197=0),$H197=0),0,MIN((VLOOKUP($E197,$A$232:$C$241,3,0))*(IF($E197=6,$P197,$O197))*((MIN((VLOOKUP($E197,$A$232:$E$241,5,0)),(IF($E197=6,$O197,$P197))))),MIN((VLOOKUP($E197,$A$232:$C$241,3,0)),($F197+$G197))*(IF($E197=6,$P197,((MIN((VLOOKUP($E197,$A$232:$E$241,5,0)),$P197)))))))))*$Q197</f>
        <v>0</v>
      </c>
      <c r="T197" s="101">
        <f t="shared" ref="T197:T223" si="37">O197*P197*Q197/12</f>
        <v>0</v>
      </c>
      <c r="U197" s="122"/>
      <c r="V197" s="300"/>
      <c r="W197" s="131">
        <f t="shared" si="30"/>
        <v>0</v>
      </c>
      <c r="X197" s="62">
        <f t="shared" ref="X197:X226" si="38">Q197</f>
        <v>0</v>
      </c>
      <c r="Y197" s="63" t="str">
        <f t="shared" si="31"/>
        <v/>
      </c>
      <c r="Z197" s="133">
        <f>(IF(OR($B197=0,$C197=0,$D197=0),0,IF(OR($E197=0,($G197+$F197=0),$H197=0),0,MIN((VLOOKUP($E197,$A$232:$C$241,3,0))*(IF($E197=6,$W197,$O197))*((MIN((VLOOKUP($E197,$A$232:$E$241,5,0)),(IF($E197=6,$O197,$W197))))),MIN((VLOOKUP($E197,$A$232:$C$241,3,0)),($F197+$G197))*(IF($E197=6,$W197,((MIN((VLOOKUP($E197,$A$232:$E$241,5,0)),$W197)))))))))*$X197</f>
        <v>0</v>
      </c>
      <c r="AA197" s="139">
        <f t="shared" si="32"/>
        <v>0</v>
      </c>
      <c r="AB197" s="126"/>
      <c r="AC197" s="295"/>
      <c r="AD197" s="295"/>
      <c r="AF197" s="359">
        <f t="shared" ref="AF197:AF223" si="39">+F197+G197</f>
        <v>0</v>
      </c>
    </row>
    <row r="198" spans="1:32" s="22" customFormat="1" ht="24.75" customHeight="1" outlineLevel="1" x14ac:dyDescent="0.2">
      <c r="A198" s="177">
        <v>195</v>
      </c>
      <c r="B198" s="325"/>
      <c r="C198" s="334"/>
      <c r="D198" s="334"/>
      <c r="E198" s="326"/>
      <c r="F198" s="327"/>
      <c r="G198" s="328"/>
      <c r="H198" s="329"/>
      <c r="I198" s="329"/>
      <c r="J198" s="330"/>
      <c r="K198" s="331">
        <f>(IF(OR($B198=0,$C198=0,$D198=0),0,IF(OR($E198=0,($G198+$F198=0),$H198=0),0,MIN((VLOOKUP($E198,$A$232:$C$241,3,0))*(IF($E198=6,$I198,$H198))*((MIN((VLOOKUP($E198,$A$232:$E$241,5,0)),(IF($E198=6,$H198,$I198))))),MIN((VLOOKUP($E198,$A$232:$C$241,3,0)),($F198+$G198))*(IF($E198=6,$I198,((MIN((VLOOKUP($E198,$A$232:$E$241,5,0)),$I198)))))))))*$J198</f>
        <v>0</v>
      </c>
      <c r="L198" s="332">
        <f t="shared" si="33"/>
        <v>0</v>
      </c>
      <c r="M198" s="333">
        <f t="shared" si="34"/>
        <v>0</v>
      </c>
      <c r="N198" s="277" t="str">
        <f>IF(E198&gt;0,MIN((VLOOKUP($E198,$A$232:$C$241,3,0)),($F198+$G198)),"")</f>
        <v/>
      </c>
      <c r="O198" s="273">
        <f>IF(E198=6,(MIN(VLOOKUP($E198,$A$232:$E$241,5,0),H198)),H198)</f>
        <v>0</v>
      </c>
      <c r="P198" s="272">
        <f>IF(E198=6,I198,IF(E198&gt;0,MIN((VLOOKUP($E198,$A$232:$E$241,5,0)),(I198)),0))*(1-$T$2)</f>
        <v>0</v>
      </c>
      <c r="Q198" s="62">
        <f t="shared" si="35"/>
        <v>0</v>
      </c>
      <c r="R198" s="274" t="str">
        <f t="shared" si="36"/>
        <v/>
      </c>
      <c r="S198" s="269">
        <f>(IF(OR($B198=0,$C198=0,$D198=0),0,IF(OR($E198=0,($G198+$F198=0),$H198=0),0,MIN((VLOOKUP($E198,$A$232:$C$241,3,0))*(IF($E198=6,$P198,$O198))*((MIN((VLOOKUP($E198,$A$232:$E$241,5,0)),(IF($E198=6,$O198,$P198))))),MIN((VLOOKUP($E198,$A$232:$C$241,3,0)),($F198+$G198))*(IF($E198=6,$P198,((MIN((VLOOKUP($E198,$A$232:$E$241,5,0)),$P198)))))))))*$Q198</f>
        <v>0</v>
      </c>
      <c r="T198" s="101">
        <f t="shared" si="37"/>
        <v>0</v>
      </c>
      <c r="U198" s="122"/>
      <c r="V198" s="300"/>
      <c r="W198" s="131">
        <f t="shared" si="30"/>
        <v>0</v>
      </c>
      <c r="X198" s="62">
        <f t="shared" si="38"/>
        <v>0</v>
      </c>
      <c r="Y198" s="63" t="str">
        <f t="shared" si="31"/>
        <v/>
      </c>
      <c r="Z198" s="133">
        <f>(IF(OR($B198=0,$C198=0,$D198=0),0,IF(OR($E198=0,($G198+$F198=0),$H198=0),0,MIN((VLOOKUP($E198,$A$232:$C$241,3,0))*(IF($E198=6,$W198,$O198))*((MIN((VLOOKUP($E198,$A$232:$E$241,5,0)),(IF($E198=6,$O198,$W198))))),MIN((VLOOKUP($E198,$A$232:$C$241,3,0)),($F198+$G198))*(IF($E198=6,$W198,((MIN((VLOOKUP($E198,$A$232:$E$241,5,0)),$W198)))))))))*$X198</f>
        <v>0</v>
      </c>
      <c r="AA198" s="139">
        <f t="shared" si="32"/>
        <v>0</v>
      </c>
      <c r="AB198" s="126"/>
      <c r="AC198" s="295"/>
      <c r="AD198" s="295"/>
      <c r="AF198" s="359">
        <f t="shared" si="39"/>
        <v>0</v>
      </c>
    </row>
    <row r="199" spans="1:32" s="22" customFormat="1" ht="24.75" customHeight="1" outlineLevel="1" x14ac:dyDescent="0.2">
      <c r="A199" s="177">
        <v>196</v>
      </c>
      <c r="B199" s="325"/>
      <c r="C199" s="334"/>
      <c r="D199" s="334"/>
      <c r="E199" s="326"/>
      <c r="F199" s="327"/>
      <c r="G199" s="328"/>
      <c r="H199" s="329"/>
      <c r="I199" s="329"/>
      <c r="J199" s="330"/>
      <c r="K199" s="331">
        <f>(IF(OR($B199=0,$C199=0,$D199=0),0,IF(OR($E199=0,($G199+$F199=0),$H199=0),0,MIN((VLOOKUP($E199,$A$232:$C$241,3,0))*(IF($E199=6,$I199,$H199))*((MIN((VLOOKUP($E199,$A$232:$E$241,5,0)),(IF($E199=6,$H199,$I199))))),MIN((VLOOKUP($E199,$A$232:$C$241,3,0)),($F199+$G199))*(IF($E199=6,$I199,((MIN((VLOOKUP($E199,$A$232:$E$241,5,0)),$I199)))))))))*$J199</f>
        <v>0</v>
      </c>
      <c r="L199" s="332">
        <f t="shared" si="33"/>
        <v>0</v>
      </c>
      <c r="M199" s="333">
        <f t="shared" si="34"/>
        <v>0</v>
      </c>
      <c r="N199" s="277" t="str">
        <f>IF(E199&gt;0,MIN((VLOOKUP($E199,$A$232:$C$241,3,0)),($F199+$G199)),"")</f>
        <v/>
      </c>
      <c r="O199" s="273">
        <f>IF(E199=6,(MIN(VLOOKUP($E199,$A$232:$E$241,5,0),H199)),H199)</f>
        <v>0</v>
      </c>
      <c r="P199" s="272">
        <f>IF(E199=6,I199,IF(E199&gt;0,MIN((VLOOKUP($E199,$A$232:$E$241,5,0)),(I199)),0))*(1-$T$2)</f>
        <v>0</v>
      </c>
      <c r="Q199" s="62">
        <f t="shared" si="35"/>
        <v>0</v>
      </c>
      <c r="R199" s="274" t="str">
        <f t="shared" si="36"/>
        <v/>
      </c>
      <c r="S199" s="269">
        <f>(IF(OR($B199=0,$C199=0,$D199=0),0,IF(OR($E199=0,($G199+$F199=0),$H199=0),0,MIN((VLOOKUP($E199,$A$232:$C$241,3,0))*(IF($E199=6,$P199,$O199))*((MIN((VLOOKUP($E199,$A$232:$E$241,5,0)),(IF($E199=6,$O199,$P199))))),MIN((VLOOKUP($E199,$A$232:$C$241,3,0)),($F199+$G199))*(IF($E199=6,$P199,((MIN((VLOOKUP($E199,$A$232:$E$241,5,0)),$P199)))))))))*$Q199</f>
        <v>0</v>
      </c>
      <c r="T199" s="101">
        <f t="shared" si="37"/>
        <v>0</v>
      </c>
      <c r="U199" s="122"/>
      <c r="V199" s="300"/>
      <c r="W199" s="131">
        <f t="shared" si="30"/>
        <v>0</v>
      </c>
      <c r="X199" s="62">
        <f t="shared" si="38"/>
        <v>0</v>
      </c>
      <c r="Y199" s="63" t="str">
        <f t="shared" si="31"/>
        <v/>
      </c>
      <c r="Z199" s="133">
        <f>(IF(OR($B199=0,$C199=0,$D199=0),0,IF(OR($E199=0,($G199+$F199=0),$H199=0),0,MIN((VLOOKUP($E199,$A$232:$C$241,3,0))*(IF($E199=6,$W199,$O199))*((MIN((VLOOKUP($E199,$A$232:$E$241,5,0)),(IF($E199=6,$O199,$W199))))),MIN((VLOOKUP($E199,$A$232:$C$241,3,0)),($F199+$G199))*(IF($E199=6,$W199,((MIN((VLOOKUP($E199,$A$232:$E$241,5,0)),$W199)))))))))*$X199</f>
        <v>0</v>
      </c>
      <c r="AA199" s="139">
        <f t="shared" si="32"/>
        <v>0</v>
      </c>
      <c r="AB199" s="126"/>
      <c r="AC199" s="295"/>
      <c r="AD199" s="295"/>
      <c r="AF199" s="359">
        <f t="shared" si="39"/>
        <v>0</v>
      </c>
    </row>
    <row r="200" spans="1:32" s="22" customFormat="1" ht="24.75" customHeight="1" outlineLevel="1" x14ac:dyDescent="0.2">
      <c r="A200" s="177">
        <v>197</v>
      </c>
      <c r="B200" s="325"/>
      <c r="C200" s="334"/>
      <c r="D200" s="334"/>
      <c r="E200" s="326"/>
      <c r="F200" s="327"/>
      <c r="G200" s="328"/>
      <c r="H200" s="329"/>
      <c r="I200" s="329"/>
      <c r="J200" s="330"/>
      <c r="K200" s="331">
        <f>(IF(OR($B200=0,$C200=0,$D200=0),0,IF(OR($E200=0,($G200+$F200=0),$H200=0),0,MIN((VLOOKUP($E200,$A$232:$C$241,3,0))*(IF($E200=6,$I200,$H200))*((MIN((VLOOKUP($E200,$A$232:$E$241,5,0)),(IF($E200=6,$H200,$I200))))),MIN((VLOOKUP($E200,$A$232:$C$241,3,0)),($F200+$G200))*(IF($E200=6,$I200,((MIN((VLOOKUP($E200,$A$232:$E$241,5,0)),$I200)))))))))*$J200</f>
        <v>0</v>
      </c>
      <c r="L200" s="332">
        <f t="shared" si="33"/>
        <v>0</v>
      </c>
      <c r="M200" s="333">
        <f t="shared" si="34"/>
        <v>0</v>
      </c>
      <c r="N200" s="277" t="str">
        <f>IF(E200&gt;0,MIN((VLOOKUP($E200,$A$232:$C$241,3,0)),($F200+$G200)),"")</f>
        <v/>
      </c>
      <c r="O200" s="273">
        <f>IF(E200=6,(MIN(VLOOKUP($E200,$A$232:$E$241,5,0),H200)),H200)</f>
        <v>0</v>
      </c>
      <c r="P200" s="272">
        <f>IF(E200=6,I200,IF(E200&gt;0,MIN((VLOOKUP($E200,$A$232:$E$241,5,0)),(I200)),0))*(1-$T$2)</f>
        <v>0</v>
      </c>
      <c r="Q200" s="62">
        <f t="shared" si="35"/>
        <v>0</v>
      </c>
      <c r="R200" s="274" t="str">
        <f t="shared" si="36"/>
        <v/>
      </c>
      <c r="S200" s="269">
        <f>(IF(OR($B200=0,$C200=0,$D200=0),0,IF(OR($E200=0,($G200+$F200=0),$H200=0),0,MIN((VLOOKUP($E200,$A$232:$C$241,3,0))*(IF($E200=6,$P200,$O200))*((MIN((VLOOKUP($E200,$A$232:$E$241,5,0)),(IF($E200=6,$O200,$P200))))),MIN((VLOOKUP($E200,$A$232:$C$241,3,0)),($F200+$G200))*(IF($E200=6,$P200,((MIN((VLOOKUP($E200,$A$232:$E$241,5,0)),$P200)))))))))*$Q200</f>
        <v>0</v>
      </c>
      <c r="T200" s="101">
        <f t="shared" si="37"/>
        <v>0</v>
      </c>
      <c r="U200" s="122"/>
      <c r="V200" s="300"/>
      <c r="W200" s="131">
        <f t="shared" si="30"/>
        <v>0</v>
      </c>
      <c r="X200" s="62">
        <f t="shared" si="38"/>
        <v>0</v>
      </c>
      <c r="Y200" s="63" t="str">
        <f t="shared" si="31"/>
        <v/>
      </c>
      <c r="Z200" s="133">
        <f>(IF(OR($B200=0,$C200=0,$D200=0),0,IF(OR($E200=0,($G200+$F200=0),$H200=0),0,MIN((VLOOKUP($E200,$A$232:$C$241,3,0))*(IF($E200=6,$W200,$O200))*((MIN((VLOOKUP($E200,$A$232:$E$241,5,0)),(IF($E200=6,$O200,$W200))))),MIN((VLOOKUP($E200,$A$232:$C$241,3,0)),($F200+$G200))*(IF($E200=6,$W200,((MIN((VLOOKUP($E200,$A$232:$E$241,5,0)),$W200)))))))))*$X200</f>
        <v>0</v>
      </c>
      <c r="AA200" s="139">
        <f t="shared" si="32"/>
        <v>0</v>
      </c>
      <c r="AB200" s="126"/>
      <c r="AC200" s="295"/>
      <c r="AD200" s="295"/>
      <c r="AF200" s="359">
        <f t="shared" si="39"/>
        <v>0</v>
      </c>
    </row>
    <row r="201" spans="1:32" s="22" customFormat="1" ht="24.75" customHeight="1" outlineLevel="1" x14ac:dyDescent="0.2">
      <c r="A201" s="177">
        <v>198</v>
      </c>
      <c r="B201" s="325"/>
      <c r="C201" s="334"/>
      <c r="D201" s="334"/>
      <c r="E201" s="326"/>
      <c r="F201" s="327"/>
      <c r="G201" s="328"/>
      <c r="H201" s="329"/>
      <c r="I201" s="329"/>
      <c r="J201" s="330"/>
      <c r="K201" s="331">
        <f>(IF(OR($B201=0,$C201=0,$D201=0),0,IF(OR($E201=0,($G201+$F201=0),$H201=0),0,MIN((VLOOKUP($E201,$A$232:$C$241,3,0))*(IF($E201=6,$I201,$H201))*((MIN((VLOOKUP($E201,$A$232:$E$241,5,0)),(IF($E201=6,$H201,$I201))))),MIN((VLOOKUP($E201,$A$232:$C$241,3,0)),($F201+$G201))*(IF($E201=6,$I201,((MIN((VLOOKUP($E201,$A$232:$E$241,5,0)),$I201)))))))))*$J201</f>
        <v>0</v>
      </c>
      <c r="L201" s="332">
        <f t="shared" si="33"/>
        <v>0</v>
      </c>
      <c r="M201" s="333">
        <f t="shared" si="34"/>
        <v>0</v>
      </c>
      <c r="N201" s="277" t="str">
        <f>IF(E201&gt;0,MIN((VLOOKUP($E201,$A$232:$C$241,3,0)),($F201+$G201)),"")</f>
        <v/>
      </c>
      <c r="O201" s="273">
        <f>IF(E201=6,(MIN(VLOOKUP($E201,$A$232:$E$241,5,0),H201)),H201)</f>
        <v>0</v>
      </c>
      <c r="P201" s="272">
        <f>IF(E201=6,I201,IF(E201&gt;0,MIN((VLOOKUP($E201,$A$232:$E$241,5,0)),(I201)),0))*(1-$T$2)</f>
        <v>0</v>
      </c>
      <c r="Q201" s="62">
        <f t="shared" si="35"/>
        <v>0</v>
      </c>
      <c r="R201" s="274" t="str">
        <f t="shared" si="36"/>
        <v/>
      </c>
      <c r="S201" s="269">
        <f>(IF(OR($B201=0,$C201=0,$D201=0),0,IF(OR($E201=0,($G201+$F201=0),$H201=0),0,MIN((VLOOKUP($E201,$A$232:$C$241,3,0))*(IF($E201=6,$P201,$O201))*((MIN((VLOOKUP($E201,$A$232:$E$241,5,0)),(IF($E201=6,$O201,$P201))))),MIN((VLOOKUP($E201,$A$232:$C$241,3,0)),($F201+$G201))*(IF($E201=6,$P201,((MIN((VLOOKUP($E201,$A$232:$E$241,5,0)),$P201)))))))))*$Q201</f>
        <v>0</v>
      </c>
      <c r="T201" s="101">
        <f t="shared" si="37"/>
        <v>0</v>
      </c>
      <c r="U201" s="122"/>
      <c r="V201" s="300"/>
      <c r="W201" s="131">
        <f t="shared" si="30"/>
        <v>0</v>
      </c>
      <c r="X201" s="62">
        <f t="shared" si="38"/>
        <v>0</v>
      </c>
      <c r="Y201" s="63" t="str">
        <f t="shared" si="31"/>
        <v/>
      </c>
      <c r="Z201" s="133">
        <f>(IF(OR($B201=0,$C201=0,$D201=0),0,IF(OR($E201=0,($G201+$F201=0),$H201=0),0,MIN((VLOOKUP($E201,$A$232:$C$241,3,0))*(IF($E201=6,$W201,$O201))*((MIN((VLOOKUP($E201,$A$232:$E$241,5,0)),(IF($E201=6,$O201,$W201))))),MIN((VLOOKUP($E201,$A$232:$C$241,3,0)),($F201+$G201))*(IF($E201=6,$W201,((MIN((VLOOKUP($E201,$A$232:$E$241,5,0)),$W201)))))))))*$X201</f>
        <v>0</v>
      </c>
      <c r="AA201" s="139">
        <f t="shared" si="32"/>
        <v>0</v>
      </c>
      <c r="AB201" s="126"/>
      <c r="AC201" s="295"/>
      <c r="AD201" s="295"/>
      <c r="AF201" s="359">
        <f t="shared" si="39"/>
        <v>0</v>
      </c>
    </row>
    <row r="202" spans="1:32" s="22" customFormat="1" ht="24.75" customHeight="1" outlineLevel="1" x14ac:dyDescent="0.2">
      <c r="A202" s="177">
        <v>199</v>
      </c>
      <c r="B202" s="325"/>
      <c r="C202" s="334"/>
      <c r="D202" s="334"/>
      <c r="E202" s="326"/>
      <c r="F202" s="327"/>
      <c r="G202" s="328"/>
      <c r="H202" s="329"/>
      <c r="I202" s="329"/>
      <c r="J202" s="330"/>
      <c r="K202" s="331">
        <f>(IF(OR($B202=0,$C202=0,$D202=0),0,IF(OR($E202=0,($G202+$F202=0),$H202=0),0,MIN((VLOOKUP($E202,$A$232:$C$241,3,0))*(IF($E202=6,$I202,$H202))*((MIN((VLOOKUP($E202,$A$232:$E$241,5,0)),(IF($E202=6,$H202,$I202))))),MIN((VLOOKUP($E202,$A$232:$C$241,3,0)),($F202+$G202))*(IF($E202=6,$I202,((MIN((VLOOKUP($E202,$A$232:$E$241,5,0)),$I202)))))))))*$J202</f>
        <v>0</v>
      </c>
      <c r="L202" s="332">
        <f t="shared" si="33"/>
        <v>0</v>
      </c>
      <c r="M202" s="333">
        <f t="shared" si="34"/>
        <v>0</v>
      </c>
      <c r="N202" s="277" t="str">
        <f>IF(E202&gt;0,MIN((VLOOKUP($E202,$A$232:$C$241,3,0)),($F202+$G202)),"")</f>
        <v/>
      </c>
      <c r="O202" s="273">
        <f>IF(E202=6,(MIN(VLOOKUP($E202,$A$232:$E$241,5,0),H202)),H202)</f>
        <v>0</v>
      </c>
      <c r="P202" s="272">
        <f>IF(E202=6,I202,IF(E202&gt;0,MIN((VLOOKUP($E202,$A$232:$E$241,5,0)),(I202)),0))*(1-$T$2)</f>
        <v>0</v>
      </c>
      <c r="Q202" s="62">
        <f t="shared" si="35"/>
        <v>0</v>
      </c>
      <c r="R202" s="274" t="str">
        <f t="shared" si="36"/>
        <v/>
      </c>
      <c r="S202" s="269">
        <f>(IF(OR($B202=0,$C202=0,$D202=0),0,IF(OR($E202=0,($G202+$F202=0),$H202=0),0,MIN((VLOOKUP($E202,$A$232:$C$241,3,0))*(IF($E202=6,$P202,$O202))*((MIN((VLOOKUP($E202,$A$232:$E$241,5,0)),(IF($E202=6,$O202,$P202))))),MIN((VLOOKUP($E202,$A$232:$C$241,3,0)),($F202+$G202))*(IF($E202=6,$P202,((MIN((VLOOKUP($E202,$A$232:$E$241,5,0)),$P202)))))))))*$Q202</f>
        <v>0</v>
      </c>
      <c r="T202" s="101">
        <f t="shared" si="37"/>
        <v>0</v>
      </c>
      <c r="U202" s="122"/>
      <c r="V202" s="300"/>
      <c r="W202" s="131">
        <f t="shared" si="30"/>
        <v>0</v>
      </c>
      <c r="X202" s="62">
        <f t="shared" si="38"/>
        <v>0</v>
      </c>
      <c r="Y202" s="63" t="str">
        <f t="shared" si="31"/>
        <v/>
      </c>
      <c r="Z202" s="133">
        <f>(IF(OR($B202=0,$C202=0,$D202=0),0,IF(OR($E202=0,($G202+$F202=0),$H202=0),0,MIN((VLOOKUP($E202,$A$232:$C$241,3,0))*(IF($E202=6,$W202,$O202))*((MIN((VLOOKUP($E202,$A$232:$E$241,5,0)),(IF($E202=6,$O202,$W202))))),MIN((VLOOKUP($E202,$A$232:$C$241,3,0)),($F202+$G202))*(IF($E202=6,$W202,((MIN((VLOOKUP($E202,$A$232:$E$241,5,0)),$W202)))))))))*$X202</f>
        <v>0</v>
      </c>
      <c r="AA202" s="139">
        <f t="shared" si="32"/>
        <v>0</v>
      </c>
      <c r="AB202" s="126"/>
      <c r="AC202" s="295"/>
      <c r="AD202" s="295"/>
      <c r="AF202" s="359">
        <f t="shared" si="39"/>
        <v>0</v>
      </c>
    </row>
    <row r="203" spans="1:32" s="22" customFormat="1" ht="24.75" customHeight="1" outlineLevel="1" x14ac:dyDescent="0.2">
      <c r="A203" s="177">
        <v>200</v>
      </c>
      <c r="B203" s="325"/>
      <c r="C203" s="334"/>
      <c r="D203" s="334"/>
      <c r="E203" s="326"/>
      <c r="F203" s="327"/>
      <c r="G203" s="328"/>
      <c r="H203" s="329"/>
      <c r="I203" s="329"/>
      <c r="J203" s="330"/>
      <c r="K203" s="331">
        <f>(IF(OR($B203=0,$C203=0,$D203=0),0,IF(OR($E203=0,($G203+$F203=0),$H203=0),0,MIN((VLOOKUP($E203,$A$232:$C$241,3,0))*(IF($E203=6,$I203,$H203))*((MIN((VLOOKUP($E203,$A$232:$E$241,5,0)),(IF($E203=6,$H203,$I203))))),MIN((VLOOKUP($E203,$A$232:$C$241,3,0)),($F203+$G203))*(IF($E203=6,$I203,((MIN((VLOOKUP($E203,$A$232:$E$241,5,0)),$I203)))))))))*$J203</f>
        <v>0</v>
      </c>
      <c r="L203" s="332">
        <f t="shared" si="33"/>
        <v>0</v>
      </c>
      <c r="M203" s="333">
        <f t="shared" si="34"/>
        <v>0</v>
      </c>
      <c r="N203" s="277" t="str">
        <f>IF(E203&gt;0,MIN((VLOOKUP($E203,$A$232:$C$241,3,0)),($F203+$G203)),"")</f>
        <v/>
      </c>
      <c r="O203" s="273">
        <f>IF(E203=6,(MIN(VLOOKUP($E203,$A$232:$E$241,5,0),H203)),H203)</f>
        <v>0</v>
      </c>
      <c r="P203" s="272">
        <f>IF(E203=6,I203,IF(E203&gt;0,MIN((VLOOKUP($E203,$A$232:$E$241,5,0)),(I203)),0))*(1-$T$2)</f>
        <v>0</v>
      </c>
      <c r="Q203" s="62">
        <f t="shared" si="35"/>
        <v>0</v>
      </c>
      <c r="R203" s="274" t="str">
        <f t="shared" si="36"/>
        <v/>
      </c>
      <c r="S203" s="269">
        <f>(IF(OR($B203=0,$C203=0,$D203=0),0,IF(OR($E203=0,($G203+$F203=0),$H203=0),0,MIN((VLOOKUP($E203,$A$232:$C$241,3,0))*(IF($E203=6,$P203,$O203))*((MIN((VLOOKUP($E203,$A$232:$E$241,5,0)),(IF($E203=6,$O203,$P203))))),MIN((VLOOKUP($E203,$A$232:$C$241,3,0)),($F203+$G203))*(IF($E203=6,$P203,((MIN((VLOOKUP($E203,$A$232:$E$241,5,0)),$P203)))))))))*$Q203</f>
        <v>0</v>
      </c>
      <c r="T203" s="101">
        <f t="shared" si="37"/>
        <v>0</v>
      </c>
      <c r="U203" s="122"/>
      <c r="V203" s="300"/>
      <c r="W203" s="131">
        <f t="shared" si="30"/>
        <v>0</v>
      </c>
      <c r="X203" s="62">
        <f t="shared" si="38"/>
        <v>0</v>
      </c>
      <c r="Y203" s="63" t="str">
        <f t="shared" si="31"/>
        <v/>
      </c>
      <c r="Z203" s="133">
        <f>(IF(OR($B203=0,$C203=0,$D203=0),0,IF(OR($E203=0,($G203+$F203=0),$H203=0),0,MIN((VLOOKUP($E203,$A$232:$C$241,3,0))*(IF($E203=6,$W203,$O203))*((MIN((VLOOKUP($E203,$A$232:$E$241,5,0)),(IF($E203=6,$O203,$W203))))),MIN((VLOOKUP($E203,$A$232:$C$241,3,0)),($F203+$G203))*(IF($E203=6,$W203,((MIN((VLOOKUP($E203,$A$232:$E$241,5,0)),$W203)))))))))*$X203</f>
        <v>0</v>
      </c>
      <c r="AA203" s="139">
        <f t="shared" si="32"/>
        <v>0</v>
      </c>
      <c r="AB203" s="126"/>
      <c r="AC203" s="295"/>
      <c r="AD203" s="295"/>
      <c r="AF203" s="359">
        <f t="shared" si="39"/>
        <v>0</v>
      </c>
    </row>
    <row r="204" spans="1:32" s="22" customFormat="1" ht="24.75" customHeight="1" outlineLevel="1" x14ac:dyDescent="0.2">
      <c r="A204" s="177">
        <v>201</v>
      </c>
      <c r="B204" s="325"/>
      <c r="C204" s="334"/>
      <c r="D204" s="334"/>
      <c r="E204" s="326"/>
      <c r="F204" s="327"/>
      <c r="G204" s="328"/>
      <c r="H204" s="329"/>
      <c r="I204" s="329"/>
      <c r="J204" s="330"/>
      <c r="K204" s="331">
        <f>(IF(OR($B204=0,$C204=0,$D204=0),0,IF(OR($E204=0,($G204+$F204=0),$H204=0),0,MIN((VLOOKUP($E204,$A$232:$C$241,3,0))*(IF($E204=6,$I204,$H204))*((MIN((VLOOKUP($E204,$A$232:$E$241,5,0)),(IF($E204=6,$H204,$I204))))),MIN((VLOOKUP($E204,$A$232:$C$241,3,0)),($F204+$G204))*(IF($E204=6,$I204,((MIN((VLOOKUP($E204,$A$232:$E$241,5,0)),$I204)))))))))*$J204</f>
        <v>0</v>
      </c>
      <c r="L204" s="332">
        <f t="shared" si="33"/>
        <v>0</v>
      </c>
      <c r="M204" s="333">
        <f t="shared" si="34"/>
        <v>0</v>
      </c>
      <c r="N204" s="277" t="str">
        <f>IF(E204&gt;0,MIN((VLOOKUP($E204,$A$232:$C$241,3,0)),($F204+$G204)),"")</f>
        <v/>
      </c>
      <c r="O204" s="273">
        <f>IF(E204=6,(MIN(VLOOKUP($E204,$A$232:$E$241,5,0),H204)),H204)</f>
        <v>0</v>
      </c>
      <c r="P204" s="272">
        <f>IF(E204=6,I204,IF(E204&gt;0,MIN((VLOOKUP($E204,$A$232:$E$241,5,0)),(I204)),0))*(1-$T$2)</f>
        <v>0</v>
      </c>
      <c r="Q204" s="62">
        <f t="shared" si="35"/>
        <v>0</v>
      </c>
      <c r="R204" s="274" t="str">
        <f t="shared" si="36"/>
        <v/>
      </c>
      <c r="S204" s="269">
        <f>(IF(OR($B204=0,$C204=0,$D204=0),0,IF(OR($E204=0,($G204+$F204=0),$H204=0),0,MIN((VLOOKUP($E204,$A$232:$C$241,3,0))*(IF($E204=6,$P204,$O204))*((MIN((VLOOKUP($E204,$A$232:$E$241,5,0)),(IF($E204=6,$O204,$P204))))),MIN((VLOOKUP($E204,$A$232:$C$241,3,0)),($F204+$G204))*(IF($E204=6,$P204,((MIN((VLOOKUP($E204,$A$232:$E$241,5,0)),$P204)))))))))*$Q204</f>
        <v>0</v>
      </c>
      <c r="T204" s="101">
        <f t="shared" si="37"/>
        <v>0</v>
      </c>
      <c r="U204" s="122"/>
      <c r="V204" s="300"/>
      <c r="W204" s="131">
        <f t="shared" si="30"/>
        <v>0</v>
      </c>
      <c r="X204" s="62">
        <f t="shared" si="38"/>
        <v>0</v>
      </c>
      <c r="Y204" s="63" t="str">
        <f t="shared" si="31"/>
        <v/>
      </c>
      <c r="Z204" s="133">
        <f>(IF(OR($B204=0,$C204=0,$D204=0),0,IF(OR($E204=0,($G204+$F204=0),$H204=0),0,MIN((VLOOKUP($E204,$A$232:$C$241,3,0))*(IF($E204=6,$W204,$O204))*((MIN((VLOOKUP($E204,$A$232:$E$241,5,0)),(IF($E204=6,$O204,$W204))))),MIN((VLOOKUP($E204,$A$232:$C$241,3,0)),($F204+$G204))*(IF($E204=6,$W204,((MIN((VLOOKUP($E204,$A$232:$E$241,5,0)),$W204)))))))))*$X204</f>
        <v>0</v>
      </c>
      <c r="AA204" s="139">
        <f t="shared" si="32"/>
        <v>0</v>
      </c>
      <c r="AB204" s="126"/>
      <c r="AC204" s="295"/>
      <c r="AD204" s="295"/>
      <c r="AF204" s="359">
        <f t="shared" si="39"/>
        <v>0</v>
      </c>
    </row>
    <row r="205" spans="1:32" s="22" customFormat="1" ht="24.75" customHeight="1" outlineLevel="1" x14ac:dyDescent="0.2">
      <c r="A205" s="177">
        <v>202</v>
      </c>
      <c r="B205" s="325"/>
      <c r="C205" s="334"/>
      <c r="D205" s="334"/>
      <c r="E205" s="326"/>
      <c r="F205" s="327"/>
      <c r="G205" s="328"/>
      <c r="H205" s="329"/>
      <c r="I205" s="329"/>
      <c r="J205" s="330"/>
      <c r="K205" s="331">
        <f>(IF(OR($B205=0,$C205=0,$D205=0),0,IF(OR($E205=0,($G205+$F205=0),$H205=0),0,MIN((VLOOKUP($E205,$A$232:$C$241,3,0))*(IF($E205=6,$I205,$H205))*((MIN((VLOOKUP($E205,$A$232:$E$241,5,0)),(IF($E205=6,$H205,$I205))))),MIN((VLOOKUP($E205,$A$232:$C$241,3,0)),($F205+$G205))*(IF($E205=6,$I205,((MIN((VLOOKUP($E205,$A$232:$E$241,5,0)),$I205)))))))))*$J205</f>
        <v>0</v>
      </c>
      <c r="L205" s="332">
        <f t="shared" si="33"/>
        <v>0</v>
      </c>
      <c r="M205" s="333">
        <f t="shared" si="34"/>
        <v>0</v>
      </c>
      <c r="N205" s="277" t="str">
        <f>IF(E205&gt;0,MIN((VLOOKUP($E205,$A$232:$C$241,3,0)),($F205+$G205)),"")</f>
        <v/>
      </c>
      <c r="O205" s="273">
        <f>IF(E205=6,(MIN(VLOOKUP($E205,$A$232:$E$241,5,0),H205)),H205)</f>
        <v>0</v>
      </c>
      <c r="P205" s="272">
        <f>IF(E205=6,I205,IF(E205&gt;0,MIN((VLOOKUP($E205,$A$232:$E$241,5,0)),(I205)),0))*(1-$T$2)</f>
        <v>0</v>
      </c>
      <c r="Q205" s="62">
        <f t="shared" si="35"/>
        <v>0</v>
      </c>
      <c r="R205" s="274" t="str">
        <f t="shared" si="36"/>
        <v/>
      </c>
      <c r="S205" s="269">
        <f>(IF(OR($B205=0,$C205=0,$D205=0),0,IF(OR($E205=0,($G205+$F205=0),$H205=0),0,MIN((VLOOKUP($E205,$A$232:$C$241,3,0))*(IF($E205=6,$P205,$O205))*((MIN((VLOOKUP($E205,$A$232:$E$241,5,0)),(IF($E205=6,$O205,$P205))))),MIN((VLOOKUP($E205,$A$232:$C$241,3,0)),($F205+$G205))*(IF($E205=6,$P205,((MIN((VLOOKUP($E205,$A$232:$E$241,5,0)),$P205)))))))))*$Q205</f>
        <v>0</v>
      </c>
      <c r="T205" s="101">
        <f t="shared" si="37"/>
        <v>0</v>
      </c>
      <c r="U205" s="122"/>
      <c r="V205" s="300"/>
      <c r="W205" s="131">
        <f t="shared" si="30"/>
        <v>0</v>
      </c>
      <c r="X205" s="62">
        <f t="shared" si="38"/>
        <v>0</v>
      </c>
      <c r="Y205" s="63" t="str">
        <f t="shared" si="31"/>
        <v/>
      </c>
      <c r="Z205" s="133">
        <f>(IF(OR($B205=0,$C205=0,$D205=0),0,IF(OR($E205=0,($G205+$F205=0),$H205=0),0,MIN((VLOOKUP($E205,$A$232:$C$241,3,0))*(IF($E205=6,$W205,$O205))*((MIN((VLOOKUP($E205,$A$232:$E$241,5,0)),(IF($E205=6,$O205,$W205))))),MIN((VLOOKUP($E205,$A$232:$C$241,3,0)),($F205+$G205))*(IF($E205=6,$W205,((MIN((VLOOKUP($E205,$A$232:$E$241,5,0)),$W205)))))))))*$X205</f>
        <v>0</v>
      </c>
      <c r="AA205" s="139">
        <f t="shared" si="32"/>
        <v>0</v>
      </c>
      <c r="AB205" s="126"/>
      <c r="AC205" s="295"/>
      <c r="AD205" s="295"/>
      <c r="AF205" s="359">
        <f t="shared" si="39"/>
        <v>0</v>
      </c>
    </row>
    <row r="206" spans="1:32" s="22" customFormat="1" ht="24.75" customHeight="1" outlineLevel="1" x14ac:dyDescent="0.2">
      <c r="A206" s="177">
        <v>203</v>
      </c>
      <c r="B206" s="325"/>
      <c r="C206" s="334"/>
      <c r="D206" s="334"/>
      <c r="E206" s="326"/>
      <c r="F206" s="327"/>
      <c r="G206" s="328"/>
      <c r="H206" s="329"/>
      <c r="I206" s="329"/>
      <c r="J206" s="330"/>
      <c r="K206" s="331">
        <f>(IF(OR($B206=0,$C206=0,$D206=0),0,IF(OR($E206=0,($G206+$F206=0),$H206=0),0,MIN((VLOOKUP($E206,$A$232:$C$241,3,0))*(IF($E206=6,$I206,$H206))*((MIN((VLOOKUP($E206,$A$232:$E$241,5,0)),(IF($E206=6,$H206,$I206))))),MIN((VLOOKUP($E206,$A$232:$C$241,3,0)),($F206+$G206))*(IF($E206=6,$I206,((MIN((VLOOKUP($E206,$A$232:$E$241,5,0)),$I206)))))))))*$J206</f>
        <v>0</v>
      </c>
      <c r="L206" s="332">
        <f t="shared" si="33"/>
        <v>0</v>
      </c>
      <c r="M206" s="333">
        <f t="shared" si="34"/>
        <v>0</v>
      </c>
      <c r="N206" s="277" t="str">
        <f>IF(E206&gt;0,MIN((VLOOKUP($E206,$A$232:$C$241,3,0)),($F206+$G206)),"")</f>
        <v/>
      </c>
      <c r="O206" s="273">
        <f>IF(E206=6,(MIN(VLOOKUP($E206,$A$232:$E$241,5,0),H206)),H206)</f>
        <v>0</v>
      </c>
      <c r="P206" s="272">
        <f>IF(E206=6,I206,IF(E206&gt;0,MIN((VLOOKUP($E206,$A$232:$E$241,5,0)),(I206)),0))*(1-$T$2)</f>
        <v>0</v>
      </c>
      <c r="Q206" s="62">
        <f t="shared" si="35"/>
        <v>0</v>
      </c>
      <c r="R206" s="274" t="str">
        <f t="shared" si="36"/>
        <v/>
      </c>
      <c r="S206" s="269">
        <f>(IF(OR($B206=0,$C206=0,$D206=0),0,IF(OR($E206=0,($G206+$F206=0),$H206=0),0,MIN((VLOOKUP($E206,$A$232:$C$241,3,0))*(IF($E206=6,$P206,$O206))*((MIN((VLOOKUP($E206,$A$232:$E$241,5,0)),(IF($E206=6,$O206,$P206))))),MIN((VLOOKUP($E206,$A$232:$C$241,3,0)),($F206+$G206))*(IF($E206=6,$P206,((MIN((VLOOKUP($E206,$A$232:$E$241,5,0)),$P206)))))))))*$Q206</f>
        <v>0</v>
      </c>
      <c r="T206" s="101">
        <f t="shared" si="37"/>
        <v>0</v>
      </c>
      <c r="U206" s="122"/>
      <c r="V206" s="300"/>
      <c r="W206" s="131">
        <f t="shared" si="30"/>
        <v>0</v>
      </c>
      <c r="X206" s="62">
        <f t="shared" si="38"/>
        <v>0</v>
      </c>
      <c r="Y206" s="63" t="str">
        <f t="shared" si="31"/>
        <v/>
      </c>
      <c r="Z206" s="133">
        <f>(IF(OR($B206=0,$C206=0,$D206=0),0,IF(OR($E206=0,($G206+$F206=0),$H206=0),0,MIN((VLOOKUP($E206,$A$232:$C$241,3,0))*(IF($E206=6,$W206,$O206))*((MIN((VLOOKUP($E206,$A$232:$E$241,5,0)),(IF($E206=6,$O206,$W206))))),MIN((VLOOKUP($E206,$A$232:$C$241,3,0)),($F206+$G206))*(IF($E206=6,$W206,((MIN((VLOOKUP($E206,$A$232:$E$241,5,0)),$W206)))))))))*$X206</f>
        <v>0</v>
      </c>
      <c r="AA206" s="139">
        <f t="shared" si="32"/>
        <v>0</v>
      </c>
      <c r="AB206" s="126"/>
      <c r="AC206" s="295"/>
      <c r="AD206" s="295"/>
      <c r="AF206" s="359">
        <f t="shared" si="39"/>
        <v>0</v>
      </c>
    </row>
    <row r="207" spans="1:32" s="22" customFormat="1" ht="24.75" customHeight="1" outlineLevel="1" x14ac:dyDescent="0.2">
      <c r="A207" s="177">
        <v>204</v>
      </c>
      <c r="B207" s="325"/>
      <c r="C207" s="334"/>
      <c r="D207" s="334"/>
      <c r="E207" s="326"/>
      <c r="F207" s="327"/>
      <c r="G207" s="328"/>
      <c r="H207" s="329"/>
      <c r="I207" s="329"/>
      <c r="J207" s="330"/>
      <c r="K207" s="331">
        <f>(IF(OR($B207=0,$C207=0,$D207=0),0,IF(OR($E207=0,($G207+$F207=0),$H207=0),0,MIN((VLOOKUP($E207,$A$232:$C$241,3,0))*(IF($E207=6,$I207,$H207))*((MIN((VLOOKUP($E207,$A$232:$E$241,5,0)),(IF($E207=6,$H207,$I207))))),MIN((VLOOKUP($E207,$A$232:$C$241,3,0)),($F207+$G207))*(IF($E207=6,$I207,((MIN((VLOOKUP($E207,$A$232:$E$241,5,0)),$I207)))))))))*$J207</f>
        <v>0</v>
      </c>
      <c r="L207" s="332">
        <f t="shared" si="33"/>
        <v>0</v>
      </c>
      <c r="M207" s="333">
        <f t="shared" si="34"/>
        <v>0</v>
      </c>
      <c r="N207" s="277" t="str">
        <f>IF(E207&gt;0,MIN((VLOOKUP($E207,$A$232:$C$241,3,0)),($F207+$G207)),"")</f>
        <v/>
      </c>
      <c r="O207" s="273">
        <f>IF(E207=6,(MIN(VLOOKUP($E207,$A$232:$E$241,5,0),H207)),H207)</f>
        <v>0</v>
      </c>
      <c r="P207" s="272">
        <f>IF(E207=6,I207,IF(E207&gt;0,MIN((VLOOKUP($E207,$A$232:$E$241,5,0)),(I207)),0))*(1-$T$2)</f>
        <v>0</v>
      </c>
      <c r="Q207" s="62">
        <f t="shared" si="35"/>
        <v>0</v>
      </c>
      <c r="R207" s="274" t="str">
        <f t="shared" si="36"/>
        <v/>
      </c>
      <c r="S207" s="269">
        <f>(IF(OR($B207=0,$C207=0,$D207=0),0,IF(OR($E207=0,($G207+$F207=0),$H207=0),0,MIN((VLOOKUP($E207,$A$232:$C$241,3,0))*(IF($E207=6,$P207,$O207))*((MIN((VLOOKUP($E207,$A$232:$E$241,5,0)),(IF($E207=6,$O207,$P207))))),MIN((VLOOKUP($E207,$A$232:$C$241,3,0)),($F207+$G207))*(IF($E207=6,$P207,((MIN((VLOOKUP($E207,$A$232:$E$241,5,0)),$P207)))))))))*$Q207</f>
        <v>0</v>
      </c>
      <c r="T207" s="101">
        <f t="shared" si="37"/>
        <v>0</v>
      </c>
      <c r="U207" s="122"/>
      <c r="V207" s="300"/>
      <c r="W207" s="131">
        <f t="shared" si="30"/>
        <v>0</v>
      </c>
      <c r="X207" s="62">
        <f t="shared" si="38"/>
        <v>0</v>
      </c>
      <c r="Y207" s="63" t="str">
        <f t="shared" si="31"/>
        <v/>
      </c>
      <c r="Z207" s="133">
        <f>(IF(OR($B207=0,$C207=0,$D207=0),0,IF(OR($E207=0,($G207+$F207=0),$H207=0),0,MIN((VLOOKUP($E207,$A$232:$C$241,3,0))*(IF($E207=6,$W207,$O207))*((MIN((VLOOKUP($E207,$A$232:$E$241,5,0)),(IF($E207=6,$O207,$W207))))),MIN((VLOOKUP($E207,$A$232:$C$241,3,0)),($F207+$G207))*(IF($E207=6,$W207,((MIN((VLOOKUP($E207,$A$232:$E$241,5,0)),$W207)))))))))*$X207</f>
        <v>0</v>
      </c>
      <c r="AA207" s="139">
        <f t="shared" si="32"/>
        <v>0</v>
      </c>
      <c r="AB207" s="126"/>
      <c r="AC207" s="295"/>
      <c r="AD207" s="295"/>
      <c r="AF207" s="359">
        <f t="shared" si="39"/>
        <v>0</v>
      </c>
    </row>
    <row r="208" spans="1:32" s="22" customFormat="1" ht="24.75" customHeight="1" outlineLevel="1" x14ac:dyDescent="0.2">
      <c r="A208" s="177">
        <v>205</v>
      </c>
      <c r="B208" s="325"/>
      <c r="C208" s="334"/>
      <c r="D208" s="334"/>
      <c r="E208" s="326"/>
      <c r="F208" s="327"/>
      <c r="G208" s="328"/>
      <c r="H208" s="329"/>
      <c r="I208" s="329"/>
      <c r="J208" s="330"/>
      <c r="K208" s="331">
        <f>(IF(OR($B208=0,$C208=0,$D208=0),0,IF(OR($E208=0,($G208+$F208=0),$H208=0),0,MIN((VLOOKUP($E208,$A$232:$C$241,3,0))*(IF($E208=6,$I208,$H208))*((MIN((VLOOKUP($E208,$A$232:$E$241,5,0)),(IF($E208=6,$H208,$I208))))),MIN((VLOOKUP($E208,$A$232:$C$241,3,0)),($F208+$G208))*(IF($E208=6,$I208,((MIN((VLOOKUP($E208,$A$232:$E$241,5,0)),$I208)))))))))*$J208</f>
        <v>0</v>
      </c>
      <c r="L208" s="332">
        <f t="shared" si="33"/>
        <v>0</v>
      </c>
      <c r="M208" s="333">
        <f t="shared" si="34"/>
        <v>0</v>
      </c>
      <c r="N208" s="277" t="str">
        <f>IF(E208&gt;0,MIN((VLOOKUP($E208,$A$232:$C$241,3,0)),($F208+$G208)),"")</f>
        <v/>
      </c>
      <c r="O208" s="273">
        <f>IF(E208=6,(MIN(VLOOKUP($E208,$A$232:$E$241,5,0),H208)),H208)</f>
        <v>0</v>
      </c>
      <c r="P208" s="272">
        <f>IF(E208=6,I208,IF(E208&gt;0,MIN((VLOOKUP($E208,$A$232:$E$241,5,0)),(I208)),0))*(1-$T$2)</f>
        <v>0</v>
      </c>
      <c r="Q208" s="62">
        <f t="shared" si="35"/>
        <v>0</v>
      </c>
      <c r="R208" s="274" t="str">
        <f t="shared" si="36"/>
        <v/>
      </c>
      <c r="S208" s="269">
        <f>(IF(OR($B208=0,$C208=0,$D208=0),0,IF(OR($E208=0,($G208+$F208=0),$H208=0),0,MIN((VLOOKUP($E208,$A$232:$C$241,3,0))*(IF($E208=6,$P208,$O208))*((MIN((VLOOKUP($E208,$A$232:$E$241,5,0)),(IF($E208=6,$O208,$P208))))),MIN((VLOOKUP($E208,$A$232:$C$241,3,0)),($F208+$G208))*(IF($E208=6,$P208,((MIN((VLOOKUP($E208,$A$232:$E$241,5,0)),$P208)))))))))*$Q208</f>
        <v>0</v>
      </c>
      <c r="T208" s="101">
        <f t="shared" si="37"/>
        <v>0</v>
      </c>
      <c r="U208" s="122"/>
      <c r="V208" s="300"/>
      <c r="W208" s="131">
        <f t="shared" si="30"/>
        <v>0</v>
      </c>
      <c r="X208" s="62">
        <f t="shared" si="38"/>
        <v>0</v>
      </c>
      <c r="Y208" s="63" t="str">
        <f t="shared" si="31"/>
        <v/>
      </c>
      <c r="Z208" s="133">
        <f>(IF(OR($B208=0,$C208=0,$D208=0),0,IF(OR($E208=0,($G208+$F208=0),$H208=0),0,MIN((VLOOKUP($E208,$A$232:$C$241,3,0))*(IF($E208=6,$W208,$O208))*((MIN((VLOOKUP($E208,$A$232:$E$241,5,0)),(IF($E208=6,$O208,$W208))))),MIN((VLOOKUP($E208,$A$232:$C$241,3,0)),($F208+$G208))*(IF($E208=6,$W208,((MIN((VLOOKUP($E208,$A$232:$E$241,5,0)),$W208)))))))))*$X208</f>
        <v>0</v>
      </c>
      <c r="AA208" s="139">
        <f t="shared" si="32"/>
        <v>0</v>
      </c>
      <c r="AB208" s="126"/>
      <c r="AC208" s="295"/>
      <c r="AD208" s="295"/>
      <c r="AF208" s="359">
        <f t="shared" si="39"/>
        <v>0</v>
      </c>
    </row>
    <row r="209" spans="1:239" s="22" customFormat="1" ht="24.75" customHeight="1" outlineLevel="1" x14ac:dyDescent="0.2">
      <c r="A209" s="177">
        <v>206</v>
      </c>
      <c r="B209" s="325"/>
      <c r="C209" s="334"/>
      <c r="D209" s="334"/>
      <c r="E209" s="326"/>
      <c r="F209" s="327"/>
      <c r="G209" s="328"/>
      <c r="H209" s="329"/>
      <c r="I209" s="329"/>
      <c r="J209" s="330"/>
      <c r="K209" s="331">
        <f>(IF(OR($B209=0,$C209=0,$D209=0),0,IF(OR($E209=0,($G209+$F209=0),$H209=0),0,MIN((VLOOKUP($E209,$A$232:$C$241,3,0))*(IF($E209=6,$I209,$H209))*((MIN((VLOOKUP($E209,$A$232:$E$241,5,0)),(IF($E209=6,$H209,$I209))))),MIN((VLOOKUP($E209,$A$232:$C$241,3,0)),($F209+$G209))*(IF($E209=6,$I209,((MIN((VLOOKUP($E209,$A$232:$E$241,5,0)),$I209)))))))))*$J209</f>
        <v>0</v>
      </c>
      <c r="L209" s="332">
        <f t="shared" si="33"/>
        <v>0</v>
      </c>
      <c r="M209" s="333">
        <f t="shared" si="34"/>
        <v>0</v>
      </c>
      <c r="N209" s="277" t="str">
        <f>IF(E209&gt;0,MIN((VLOOKUP($E209,$A$232:$C$241,3,0)),($F209+$G209)),"")</f>
        <v/>
      </c>
      <c r="O209" s="273">
        <f>IF(E209=6,(MIN(VLOOKUP($E209,$A$232:$E$241,5,0),H209)),H209)</f>
        <v>0</v>
      </c>
      <c r="P209" s="272">
        <f>IF(E209=6,I209,IF(E209&gt;0,MIN((VLOOKUP($E209,$A$232:$E$241,5,0)),(I209)),0))*(1-$T$2)</f>
        <v>0</v>
      </c>
      <c r="Q209" s="62">
        <f t="shared" si="35"/>
        <v>0</v>
      </c>
      <c r="R209" s="274" t="str">
        <f t="shared" si="36"/>
        <v/>
      </c>
      <c r="S209" s="269">
        <f>(IF(OR($B209=0,$C209=0,$D209=0),0,IF(OR($E209=0,($G209+$F209=0),$H209=0),0,MIN((VLOOKUP($E209,$A$232:$C$241,3,0))*(IF($E209=6,$P209,$O209))*((MIN((VLOOKUP($E209,$A$232:$E$241,5,0)),(IF($E209=6,$O209,$P209))))),MIN((VLOOKUP($E209,$A$232:$C$241,3,0)),($F209+$G209))*(IF($E209=6,$P209,((MIN((VLOOKUP($E209,$A$232:$E$241,5,0)),$P209)))))))))*$Q209</f>
        <v>0</v>
      </c>
      <c r="T209" s="101">
        <f t="shared" si="37"/>
        <v>0</v>
      </c>
      <c r="U209" s="122"/>
      <c r="V209" s="300"/>
      <c r="W209" s="131">
        <f t="shared" si="30"/>
        <v>0</v>
      </c>
      <c r="X209" s="62">
        <f t="shared" si="38"/>
        <v>0</v>
      </c>
      <c r="Y209" s="63" t="str">
        <f t="shared" si="31"/>
        <v/>
      </c>
      <c r="Z209" s="133">
        <f>(IF(OR($B209=0,$C209=0,$D209=0),0,IF(OR($E209=0,($G209+$F209=0),$H209=0),0,MIN((VLOOKUP($E209,$A$232:$C$241,3,0))*(IF($E209=6,$W209,$O209))*((MIN((VLOOKUP($E209,$A$232:$E$241,5,0)),(IF($E209=6,$O209,$W209))))),MIN((VLOOKUP($E209,$A$232:$C$241,3,0)),($F209+$G209))*(IF($E209=6,$W209,((MIN((VLOOKUP($E209,$A$232:$E$241,5,0)),$W209)))))))))*$X209</f>
        <v>0</v>
      </c>
      <c r="AA209" s="139">
        <f t="shared" si="32"/>
        <v>0</v>
      </c>
      <c r="AB209" s="126"/>
      <c r="AC209" s="295"/>
      <c r="AD209" s="295"/>
      <c r="AF209" s="359">
        <f t="shared" si="39"/>
        <v>0</v>
      </c>
    </row>
    <row r="210" spans="1:239" s="22" customFormat="1" ht="24.75" customHeight="1" outlineLevel="1" x14ac:dyDescent="0.2">
      <c r="A210" s="177">
        <v>207</v>
      </c>
      <c r="B210" s="325"/>
      <c r="C210" s="334"/>
      <c r="D210" s="334"/>
      <c r="E210" s="326"/>
      <c r="F210" s="327"/>
      <c r="G210" s="328"/>
      <c r="H210" s="329"/>
      <c r="I210" s="329"/>
      <c r="J210" s="330"/>
      <c r="K210" s="331">
        <f>(IF(OR($B210=0,$C210=0,$D210=0),0,IF(OR($E210=0,($G210+$F210=0),$H210=0),0,MIN((VLOOKUP($E210,$A$232:$C$241,3,0))*(IF($E210=6,$I210,$H210))*((MIN((VLOOKUP($E210,$A$232:$E$241,5,0)),(IF($E210=6,$H210,$I210))))),MIN((VLOOKUP($E210,$A$232:$C$241,3,0)),($F210+$G210))*(IF($E210=6,$I210,((MIN((VLOOKUP($E210,$A$232:$E$241,5,0)),$I210)))))))))*$J210</f>
        <v>0</v>
      </c>
      <c r="L210" s="332">
        <f t="shared" si="33"/>
        <v>0</v>
      </c>
      <c r="M210" s="333">
        <f t="shared" si="34"/>
        <v>0</v>
      </c>
      <c r="N210" s="277" t="str">
        <f>IF(E210&gt;0,MIN((VLOOKUP($E210,$A$232:$C$241,3,0)),($F210+$G210)),"")</f>
        <v/>
      </c>
      <c r="O210" s="273">
        <f>IF(E210=6,(MIN(VLOOKUP($E210,$A$232:$E$241,5,0),H210)),H210)</f>
        <v>0</v>
      </c>
      <c r="P210" s="272">
        <f>IF(E210=6,I210,IF(E210&gt;0,MIN((VLOOKUP($E210,$A$232:$E$241,5,0)),(I210)),0))*(1-$T$2)</f>
        <v>0</v>
      </c>
      <c r="Q210" s="62">
        <f t="shared" si="35"/>
        <v>0</v>
      </c>
      <c r="R210" s="274" t="str">
        <f t="shared" si="36"/>
        <v/>
      </c>
      <c r="S210" s="269">
        <f>(IF(OR($B210=0,$C210=0,$D210=0),0,IF(OR($E210=0,($G210+$F210=0),$H210=0),0,MIN((VLOOKUP($E210,$A$232:$C$241,3,0))*(IF($E210=6,$P210,$O210))*((MIN((VLOOKUP($E210,$A$232:$E$241,5,0)),(IF($E210=6,$O210,$P210))))),MIN((VLOOKUP($E210,$A$232:$C$241,3,0)),($F210+$G210))*(IF($E210=6,$P210,((MIN((VLOOKUP($E210,$A$232:$E$241,5,0)),$P210)))))))))*$Q210</f>
        <v>0</v>
      </c>
      <c r="T210" s="101">
        <f t="shared" si="37"/>
        <v>0</v>
      </c>
      <c r="U210" s="122"/>
      <c r="V210" s="300"/>
      <c r="W210" s="131">
        <f t="shared" si="30"/>
        <v>0</v>
      </c>
      <c r="X210" s="62">
        <f t="shared" si="38"/>
        <v>0</v>
      </c>
      <c r="Y210" s="63" t="str">
        <f t="shared" si="31"/>
        <v/>
      </c>
      <c r="Z210" s="133">
        <f>(IF(OR($B210=0,$C210=0,$D210=0),0,IF(OR($E210=0,($G210+$F210=0),$H210=0),0,MIN((VLOOKUP($E210,$A$232:$C$241,3,0))*(IF($E210=6,$W210,$O210))*((MIN((VLOOKUP($E210,$A$232:$E$241,5,0)),(IF($E210=6,$O210,$W210))))),MIN((VLOOKUP($E210,$A$232:$C$241,3,0)),($F210+$G210))*(IF($E210=6,$W210,((MIN((VLOOKUP($E210,$A$232:$E$241,5,0)),$W210)))))))))*$X210</f>
        <v>0</v>
      </c>
      <c r="AA210" s="139">
        <f t="shared" si="32"/>
        <v>0</v>
      </c>
      <c r="AB210" s="126"/>
      <c r="AC210" s="295"/>
      <c r="AD210" s="295"/>
      <c r="AF210" s="359">
        <f t="shared" si="39"/>
        <v>0</v>
      </c>
    </row>
    <row r="211" spans="1:239" s="22" customFormat="1" ht="24.75" customHeight="1" outlineLevel="1" x14ac:dyDescent="0.2">
      <c r="A211" s="177">
        <v>208</v>
      </c>
      <c r="B211" s="325"/>
      <c r="C211" s="334"/>
      <c r="D211" s="334"/>
      <c r="E211" s="326"/>
      <c r="F211" s="327"/>
      <c r="G211" s="328"/>
      <c r="H211" s="329"/>
      <c r="I211" s="329"/>
      <c r="J211" s="330"/>
      <c r="K211" s="331">
        <f>(IF(OR($B211=0,$C211=0,$D211=0),0,IF(OR($E211=0,($G211+$F211=0),$H211=0),0,MIN((VLOOKUP($E211,$A$232:$C$241,3,0))*(IF($E211=6,$I211,$H211))*((MIN((VLOOKUP($E211,$A$232:$E$241,5,0)),(IF($E211=6,$H211,$I211))))),MIN((VLOOKUP($E211,$A$232:$C$241,3,0)),($F211+$G211))*(IF($E211=6,$I211,((MIN((VLOOKUP($E211,$A$232:$E$241,5,0)),$I211)))))))))*$J211</f>
        <v>0</v>
      </c>
      <c r="L211" s="332">
        <f t="shared" si="33"/>
        <v>0</v>
      </c>
      <c r="M211" s="333">
        <f t="shared" si="34"/>
        <v>0</v>
      </c>
      <c r="N211" s="277" t="str">
        <f>IF(E211&gt;0,MIN((VLOOKUP($E211,$A$232:$C$241,3,0)),($F211+$G211)),"")</f>
        <v/>
      </c>
      <c r="O211" s="273">
        <f>IF(E211=6,(MIN(VLOOKUP($E211,$A$232:$E$241,5,0),H211)),H211)</f>
        <v>0</v>
      </c>
      <c r="P211" s="272">
        <f>IF(E211=6,I211,IF(E211&gt;0,MIN((VLOOKUP($E211,$A$232:$E$241,5,0)),(I211)),0))*(1-$T$2)</f>
        <v>0</v>
      </c>
      <c r="Q211" s="62">
        <f t="shared" si="35"/>
        <v>0</v>
      </c>
      <c r="R211" s="274" t="str">
        <f t="shared" si="36"/>
        <v/>
      </c>
      <c r="S211" s="269">
        <f>(IF(OR($B211=0,$C211=0,$D211=0),0,IF(OR($E211=0,($G211+$F211=0),$H211=0),0,MIN((VLOOKUP($E211,$A$232:$C$241,3,0))*(IF($E211=6,$P211,$O211))*((MIN((VLOOKUP($E211,$A$232:$E$241,5,0)),(IF($E211=6,$O211,$P211))))),MIN((VLOOKUP($E211,$A$232:$C$241,3,0)),($F211+$G211))*(IF($E211=6,$P211,((MIN((VLOOKUP($E211,$A$232:$E$241,5,0)),$P211)))))))))*$Q211</f>
        <v>0</v>
      </c>
      <c r="T211" s="101">
        <f t="shared" si="37"/>
        <v>0</v>
      </c>
      <c r="U211" s="122"/>
      <c r="V211" s="300"/>
      <c r="W211" s="131">
        <f t="shared" si="30"/>
        <v>0</v>
      </c>
      <c r="X211" s="62">
        <f t="shared" si="38"/>
        <v>0</v>
      </c>
      <c r="Y211" s="63" t="str">
        <f t="shared" si="31"/>
        <v/>
      </c>
      <c r="Z211" s="133">
        <f>(IF(OR($B211=0,$C211=0,$D211=0),0,IF(OR($E211=0,($G211+$F211=0),$H211=0),0,MIN((VLOOKUP($E211,$A$232:$C$241,3,0))*(IF($E211=6,$W211,$O211))*((MIN((VLOOKUP($E211,$A$232:$E$241,5,0)),(IF($E211=6,$O211,$W211))))),MIN((VLOOKUP($E211,$A$232:$C$241,3,0)),($F211+$G211))*(IF($E211=6,$W211,((MIN((VLOOKUP($E211,$A$232:$E$241,5,0)),$W211)))))))))*$X211</f>
        <v>0</v>
      </c>
      <c r="AA211" s="139">
        <f t="shared" si="32"/>
        <v>0</v>
      </c>
      <c r="AB211" s="126"/>
      <c r="AC211" s="295"/>
      <c r="AD211" s="295"/>
      <c r="AF211" s="359">
        <f t="shared" si="39"/>
        <v>0</v>
      </c>
    </row>
    <row r="212" spans="1:239" s="22" customFormat="1" ht="24.75" customHeight="1" outlineLevel="1" x14ac:dyDescent="0.2">
      <c r="A212" s="177">
        <v>209</v>
      </c>
      <c r="B212" s="325"/>
      <c r="C212" s="334"/>
      <c r="D212" s="334"/>
      <c r="E212" s="326"/>
      <c r="F212" s="327"/>
      <c r="G212" s="328"/>
      <c r="H212" s="329"/>
      <c r="I212" s="329"/>
      <c r="J212" s="330"/>
      <c r="K212" s="331">
        <f>(IF(OR($B212=0,$C212=0,$D212=0),0,IF(OR($E212=0,($G212+$F212=0),$H212=0),0,MIN((VLOOKUP($E212,$A$232:$C$241,3,0))*(IF($E212=6,$I212,$H212))*((MIN((VLOOKUP($E212,$A$232:$E$241,5,0)),(IF($E212=6,$H212,$I212))))),MIN((VLOOKUP($E212,$A$232:$C$241,3,0)),($F212+$G212))*(IF($E212=6,$I212,((MIN((VLOOKUP($E212,$A$232:$E$241,5,0)),$I212)))))))))*$J212</f>
        <v>0</v>
      </c>
      <c r="L212" s="332">
        <f t="shared" si="33"/>
        <v>0</v>
      </c>
      <c r="M212" s="333">
        <f t="shared" si="34"/>
        <v>0</v>
      </c>
      <c r="N212" s="277" t="str">
        <f>IF(E212&gt;0,MIN((VLOOKUP($E212,$A$232:$C$241,3,0)),($F212+$G212)),"")</f>
        <v/>
      </c>
      <c r="O212" s="273">
        <f>IF(E212=6,(MIN(VLOOKUP($E212,$A$232:$E$241,5,0),H212)),H212)</f>
        <v>0</v>
      </c>
      <c r="P212" s="272">
        <f>IF(E212=6,I212,IF(E212&gt;0,MIN((VLOOKUP($E212,$A$232:$E$241,5,0)),(I212)),0))*(1-$T$2)</f>
        <v>0</v>
      </c>
      <c r="Q212" s="62">
        <f t="shared" si="35"/>
        <v>0</v>
      </c>
      <c r="R212" s="274" t="str">
        <f t="shared" si="36"/>
        <v/>
      </c>
      <c r="S212" s="269">
        <f>(IF(OR($B212=0,$C212=0,$D212=0),0,IF(OR($E212=0,($G212+$F212=0),$H212=0),0,MIN((VLOOKUP($E212,$A$232:$C$241,3,0))*(IF($E212=6,$P212,$O212))*((MIN((VLOOKUP($E212,$A$232:$E$241,5,0)),(IF($E212=6,$O212,$P212))))),MIN((VLOOKUP($E212,$A$232:$C$241,3,0)),($F212+$G212))*(IF($E212=6,$P212,((MIN((VLOOKUP($E212,$A$232:$E$241,5,0)),$P212)))))))))*$Q212</f>
        <v>0</v>
      </c>
      <c r="T212" s="101">
        <f t="shared" si="37"/>
        <v>0</v>
      </c>
      <c r="U212" s="122"/>
      <c r="V212" s="300"/>
      <c r="W212" s="131">
        <f t="shared" ref="W212:W223" si="40">IF($AA$2&gt;0,(1-$AA$2)*P212,P212)</f>
        <v>0</v>
      </c>
      <c r="X212" s="62">
        <f t="shared" si="38"/>
        <v>0</v>
      </c>
      <c r="Y212" s="63" t="str">
        <f t="shared" si="31"/>
        <v/>
      </c>
      <c r="Z212" s="133">
        <f>(IF(OR($B212=0,$C212=0,$D212=0),0,IF(OR($E212=0,($G212+$F212=0),$H212=0),0,MIN((VLOOKUP($E212,$A$232:$C$241,3,0))*(IF($E212=6,$W212,$O212))*((MIN((VLOOKUP($E212,$A$232:$E$241,5,0)),(IF($E212=6,$O212,$W212))))),MIN((VLOOKUP($E212,$A$232:$C$241,3,0)),($F212+$G212))*(IF($E212=6,$W212,((MIN((VLOOKUP($E212,$A$232:$E$241,5,0)),$W212)))))))))*$X212</f>
        <v>0</v>
      </c>
      <c r="AA212" s="139">
        <f t="shared" si="32"/>
        <v>0</v>
      </c>
      <c r="AB212" s="126"/>
      <c r="AC212" s="295"/>
      <c r="AD212" s="295"/>
      <c r="AF212" s="359">
        <f t="shared" si="39"/>
        <v>0</v>
      </c>
    </row>
    <row r="213" spans="1:239" s="22" customFormat="1" ht="24.75" customHeight="1" outlineLevel="1" x14ac:dyDescent="0.2">
      <c r="A213" s="177">
        <v>210</v>
      </c>
      <c r="B213" s="325"/>
      <c r="C213" s="334"/>
      <c r="D213" s="334"/>
      <c r="E213" s="326"/>
      <c r="F213" s="327"/>
      <c r="G213" s="328"/>
      <c r="H213" s="329"/>
      <c r="I213" s="329"/>
      <c r="J213" s="330"/>
      <c r="K213" s="331">
        <f>(IF(OR($B213=0,$C213=0,$D213=0),0,IF(OR($E213=0,($G213+$F213=0),$H213=0),0,MIN((VLOOKUP($E213,$A$232:$C$241,3,0))*(IF($E213=6,$I213,$H213))*((MIN((VLOOKUP($E213,$A$232:$E$241,5,0)),(IF($E213=6,$H213,$I213))))),MIN((VLOOKUP($E213,$A$232:$C$241,3,0)),($F213+$G213))*(IF($E213=6,$I213,((MIN((VLOOKUP($E213,$A$232:$E$241,5,0)),$I213)))))))))*$J213</f>
        <v>0</v>
      </c>
      <c r="L213" s="332">
        <f t="shared" si="33"/>
        <v>0</v>
      </c>
      <c r="M213" s="333">
        <f t="shared" si="34"/>
        <v>0</v>
      </c>
      <c r="N213" s="277" t="str">
        <f>IF(E213&gt;0,MIN((VLOOKUP($E213,$A$232:$C$241,3,0)),($F213+$G213)),"")</f>
        <v/>
      </c>
      <c r="O213" s="273">
        <f>IF(E213=6,(MIN(VLOOKUP($E213,$A$232:$E$241,5,0),H213)),H213)</f>
        <v>0</v>
      </c>
      <c r="P213" s="272">
        <f>IF(E213=6,I213,IF(E213&gt;0,MIN((VLOOKUP($E213,$A$232:$E$241,5,0)),(I213)),0))*(1-$T$2)</f>
        <v>0</v>
      </c>
      <c r="Q213" s="62">
        <f t="shared" si="35"/>
        <v>0</v>
      </c>
      <c r="R213" s="274" t="str">
        <f t="shared" si="36"/>
        <v/>
      </c>
      <c r="S213" s="269">
        <f>(IF(OR($B213=0,$C213=0,$D213=0),0,IF(OR($E213=0,($G213+$F213=0),$H213=0),0,MIN((VLOOKUP($E213,$A$232:$C$241,3,0))*(IF($E213=6,$P213,$O213))*((MIN((VLOOKUP($E213,$A$232:$E$241,5,0)),(IF($E213=6,$O213,$P213))))),MIN((VLOOKUP($E213,$A$232:$C$241,3,0)),($F213+$G213))*(IF($E213=6,$P213,((MIN((VLOOKUP($E213,$A$232:$E$241,5,0)),$P213)))))))))*$Q213</f>
        <v>0</v>
      </c>
      <c r="T213" s="101">
        <f t="shared" si="37"/>
        <v>0</v>
      </c>
      <c r="U213" s="122"/>
      <c r="V213" s="300"/>
      <c r="W213" s="131">
        <f t="shared" si="40"/>
        <v>0</v>
      </c>
      <c r="X213" s="62">
        <f t="shared" si="38"/>
        <v>0</v>
      </c>
      <c r="Y213" s="63" t="str">
        <f t="shared" si="31"/>
        <v/>
      </c>
      <c r="Z213" s="133">
        <f>(IF(OR($B213=0,$C213=0,$D213=0),0,IF(OR($E213=0,($G213+$F213=0),$H213=0),0,MIN((VLOOKUP($E213,$A$232:$C$241,3,0))*(IF($E213=6,$W213,$O213))*((MIN((VLOOKUP($E213,$A$232:$E$241,5,0)),(IF($E213=6,$O213,$W213))))),MIN((VLOOKUP($E213,$A$232:$C$241,3,0)),($F213+$G213))*(IF($E213=6,$W213,((MIN((VLOOKUP($E213,$A$232:$E$241,5,0)),$W213)))))))))*$X213</f>
        <v>0</v>
      </c>
      <c r="AA213" s="139">
        <f t="shared" si="32"/>
        <v>0</v>
      </c>
      <c r="AB213" s="126"/>
      <c r="AC213" s="295"/>
      <c r="AD213" s="295"/>
      <c r="AF213" s="359">
        <f t="shared" si="39"/>
        <v>0</v>
      </c>
    </row>
    <row r="214" spans="1:239" s="22" customFormat="1" ht="24.75" customHeight="1" outlineLevel="1" x14ac:dyDescent="0.2">
      <c r="A214" s="177">
        <v>211</v>
      </c>
      <c r="B214" s="325"/>
      <c r="C214" s="334"/>
      <c r="D214" s="334"/>
      <c r="E214" s="326"/>
      <c r="F214" s="327"/>
      <c r="G214" s="328"/>
      <c r="H214" s="329"/>
      <c r="I214" s="329"/>
      <c r="J214" s="330"/>
      <c r="K214" s="331">
        <f>(IF(OR($B214=0,$C214=0,$D214=0),0,IF(OR($E214=0,($G214+$F214=0),$H214=0),0,MIN((VLOOKUP($E214,$A$232:$C$241,3,0))*(IF($E214=6,$I214,$H214))*((MIN((VLOOKUP($E214,$A$232:$E$241,5,0)),(IF($E214=6,$H214,$I214))))),MIN((VLOOKUP($E214,$A$232:$C$241,3,0)),($F214+$G214))*(IF($E214=6,$I214,((MIN((VLOOKUP($E214,$A$232:$E$241,5,0)),$I214)))))))))*$J214</f>
        <v>0</v>
      </c>
      <c r="L214" s="332">
        <f t="shared" si="33"/>
        <v>0</v>
      </c>
      <c r="M214" s="333">
        <f t="shared" si="34"/>
        <v>0</v>
      </c>
      <c r="N214" s="277" t="str">
        <f>IF(E214&gt;0,MIN((VLOOKUP($E214,$A$232:$C$241,3,0)),($F214+$G214)),"")</f>
        <v/>
      </c>
      <c r="O214" s="273">
        <f>IF(E214=6,(MIN(VLOOKUP($E214,$A$232:$E$241,5,0),H214)),H214)</f>
        <v>0</v>
      </c>
      <c r="P214" s="272">
        <f>IF(E214=6,I214,IF(E214&gt;0,MIN((VLOOKUP($E214,$A$232:$E$241,5,0)),(I214)),0))*(1-$T$2)</f>
        <v>0</v>
      </c>
      <c r="Q214" s="62">
        <f t="shared" si="35"/>
        <v>0</v>
      </c>
      <c r="R214" s="274" t="str">
        <f t="shared" si="36"/>
        <v/>
      </c>
      <c r="S214" s="269">
        <f>(IF(OR($B214=0,$C214=0,$D214=0),0,IF(OR($E214=0,($G214+$F214=0),$H214=0),0,MIN((VLOOKUP($E214,$A$232:$C$241,3,0))*(IF($E214=6,$P214,$O214))*((MIN((VLOOKUP($E214,$A$232:$E$241,5,0)),(IF($E214=6,$O214,$P214))))),MIN((VLOOKUP($E214,$A$232:$C$241,3,0)),($F214+$G214))*(IF($E214=6,$P214,((MIN((VLOOKUP($E214,$A$232:$E$241,5,0)),$P214)))))))))*$Q214</f>
        <v>0</v>
      </c>
      <c r="T214" s="101">
        <f t="shared" si="37"/>
        <v>0</v>
      </c>
      <c r="U214" s="122"/>
      <c r="V214" s="300"/>
      <c r="W214" s="131">
        <f t="shared" si="40"/>
        <v>0</v>
      </c>
      <c r="X214" s="62">
        <f t="shared" si="38"/>
        <v>0</v>
      </c>
      <c r="Y214" s="63" t="str">
        <f t="shared" si="31"/>
        <v/>
      </c>
      <c r="Z214" s="133">
        <f>(IF(OR($B214=0,$C214=0,$D214=0),0,IF(OR($E214=0,($G214+$F214=0),$H214=0),0,MIN((VLOOKUP($E214,$A$232:$C$241,3,0))*(IF($E214=6,$W214,$O214))*((MIN((VLOOKUP($E214,$A$232:$E$241,5,0)),(IF($E214=6,$O214,$W214))))),MIN((VLOOKUP($E214,$A$232:$C$241,3,0)),($F214+$G214))*(IF($E214=6,$W214,((MIN((VLOOKUP($E214,$A$232:$E$241,5,0)),$W214)))))))))*$X214</f>
        <v>0</v>
      </c>
      <c r="AA214" s="139">
        <f t="shared" si="32"/>
        <v>0</v>
      </c>
      <c r="AB214" s="126"/>
      <c r="AC214" s="295"/>
      <c r="AD214" s="295"/>
      <c r="AF214" s="359">
        <f t="shared" si="39"/>
        <v>0</v>
      </c>
    </row>
    <row r="215" spans="1:239" s="22" customFormat="1" ht="24.75" customHeight="1" outlineLevel="1" x14ac:dyDescent="0.2">
      <c r="A215" s="177">
        <v>212</v>
      </c>
      <c r="B215" s="325"/>
      <c r="C215" s="334"/>
      <c r="D215" s="334"/>
      <c r="E215" s="326"/>
      <c r="F215" s="327"/>
      <c r="G215" s="328"/>
      <c r="H215" s="329"/>
      <c r="I215" s="329"/>
      <c r="J215" s="330"/>
      <c r="K215" s="331">
        <f>(IF(OR($B215=0,$C215=0,$D215=0),0,IF(OR($E215=0,($G215+$F215=0),$H215=0),0,MIN((VLOOKUP($E215,$A$232:$C$241,3,0))*(IF($E215=6,$I215,$H215))*((MIN((VLOOKUP($E215,$A$232:$E$241,5,0)),(IF($E215=6,$H215,$I215))))),MIN((VLOOKUP($E215,$A$232:$C$241,3,0)),($F215+$G215))*(IF($E215=6,$I215,((MIN((VLOOKUP($E215,$A$232:$E$241,5,0)),$I215)))))))))*$J215</f>
        <v>0</v>
      </c>
      <c r="L215" s="332">
        <f t="shared" si="33"/>
        <v>0</v>
      </c>
      <c r="M215" s="333">
        <f t="shared" si="34"/>
        <v>0</v>
      </c>
      <c r="N215" s="277" t="str">
        <f>IF(E215&gt;0,MIN((VLOOKUP($E215,$A$232:$C$241,3,0)),($F215+$G215)),"")</f>
        <v/>
      </c>
      <c r="O215" s="273">
        <f>IF(E215=6,(MIN(VLOOKUP($E215,$A$232:$E$241,5,0),H215)),H215)</f>
        <v>0</v>
      </c>
      <c r="P215" s="272">
        <f>IF(E215=6,I215,IF(E215&gt;0,MIN((VLOOKUP($E215,$A$232:$E$241,5,0)),(I215)),0))*(1-$T$2)</f>
        <v>0</v>
      </c>
      <c r="Q215" s="62">
        <f t="shared" si="35"/>
        <v>0</v>
      </c>
      <c r="R215" s="274" t="str">
        <f t="shared" si="36"/>
        <v/>
      </c>
      <c r="S215" s="269">
        <f>(IF(OR($B215=0,$C215=0,$D215=0),0,IF(OR($E215=0,($G215+$F215=0),$H215=0),0,MIN((VLOOKUP($E215,$A$232:$C$241,3,0))*(IF($E215=6,$P215,$O215))*((MIN((VLOOKUP($E215,$A$232:$E$241,5,0)),(IF($E215=6,$O215,$P215))))),MIN((VLOOKUP($E215,$A$232:$C$241,3,0)),($F215+$G215))*(IF($E215=6,$P215,((MIN((VLOOKUP($E215,$A$232:$E$241,5,0)),$P215)))))))))*$Q215</f>
        <v>0</v>
      </c>
      <c r="T215" s="101">
        <f t="shared" si="37"/>
        <v>0</v>
      </c>
      <c r="U215" s="122"/>
      <c r="V215" s="300"/>
      <c r="W215" s="131">
        <f t="shared" si="40"/>
        <v>0</v>
      </c>
      <c r="X215" s="62">
        <f t="shared" si="38"/>
        <v>0</v>
      </c>
      <c r="Y215" s="63" t="str">
        <f t="shared" si="31"/>
        <v/>
      </c>
      <c r="Z215" s="133">
        <f>(IF(OR($B215=0,$C215=0,$D215=0),0,IF(OR($E215=0,($G215+$F215=0),$H215=0),0,MIN((VLOOKUP($E215,$A$232:$C$241,3,0))*(IF($E215=6,$W215,$O215))*((MIN((VLOOKUP($E215,$A$232:$E$241,5,0)),(IF($E215=6,$O215,$W215))))),MIN((VLOOKUP($E215,$A$232:$C$241,3,0)),($F215+$G215))*(IF($E215=6,$W215,((MIN((VLOOKUP($E215,$A$232:$E$241,5,0)),$W215)))))))))*$X215</f>
        <v>0</v>
      </c>
      <c r="AA215" s="139">
        <f t="shared" si="32"/>
        <v>0</v>
      </c>
      <c r="AB215" s="126"/>
      <c r="AC215" s="295"/>
      <c r="AD215" s="295"/>
      <c r="AF215" s="359">
        <f t="shared" si="39"/>
        <v>0</v>
      </c>
    </row>
    <row r="216" spans="1:239" s="22" customFormat="1" ht="24.75" customHeight="1" outlineLevel="1" x14ac:dyDescent="0.2">
      <c r="A216" s="177">
        <v>213</v>
      </c>
      <c r="B216" s="325"/>
      <c r="C216" s="334"/>
      <c r="D216" s="334"/>
      <c r="E216" s="326"/>
      <c r="F216" s="327"/>
      <c r="G216" s="328"/>
      <c r="H216" s="329"/>
      <c r="I216" s="329"/>
      <c r="J216" s="330"/>
      <c r="K216" s="331">
        <f>(IF(OR($B216=0,$C216=0,$D216=0),0,IF(OR($E216=0,($G216+$F216=0),$H216=0),0,MIN((VLOOKUP($E216,$A$232:$C$241,3,0))*(IF($E216=6,$I216,$H216))*((MIN((VLOOKUP($E216,$A$232:$E$241,5,0)),(IF($E216=6,$H216,$I216))))),MIN((VLOOKUP($E216,$A$232:$C$241,3,0)),($F216+$G216))*(IF($E216=6,$I216,((MIN((VLOOKUP($E216,$A$232:$E$241,5,0)),$I216)))))))))*$J216</f>
        <v>0</v>
      </c>
      <c r="L216" s="332">
        <f t="shared" si="33"/>
        <v>0</v>
      </c>
      <c r="M216" s="333">
        <f t="shared" si="34"/>
        <v>0</v>
      </c>
      <c r="N216" s="277" t="str">
        <f>IF(E216&gt;0,MIN((VLOOKUP($E216,$A$232:$C$241,3,0)),($F216+$G216)),"")</f>
        <v/>
      </c>
      <c r="O216" s="273">
        <f>IF(E216=6,(MIN(VLOOKUP($E216,$A$232:$E$241,5,0),H216)),H216)</f>
        <v>0</v>
      </c>
      <c r="P216" s="272">
        <f>IF(E216=6,I216,IF(E216&gt;0,MIN((VLOOKUP($E216,$A$232:$E$241,5,0)),(I216)),0))*(1-$T$2)</f>
        <v>0</v>
      </c>
      <c r="Q216" s="62">
        <f t="shared" si="35"/>
        <v>0</v>
      </c>
      <c r="R216" s="274" t="str">
        <f t="shared" si="36"/>
        <v/>
      </c>
      <c r="S216" s="269">
        <f>(IF(OR($B216=0,$C216=0,$D216=0),0,IF(OR($E216=0,($G216+$F216=0),$H216=0),0,MIN((VLOOKUP($E216,$A$232:$C$241,3,0))*(IF($E216=6,$P216,$O216))*((MIN((VLOOKUP($E216,$A$232:$E$241,5,0)),(IF($E216=6,$O216,$P216))))),MIN((VLOOKUP($E216,$A$232:$C$241,3,0)),($F216+$G216))*(IF($E216=6,$P216,((MIN((VLOOKUP($E216,$A$232:$E$241,5,0)),$P216)))))))))*$Q216</f>
        <v>0</v>
      </c>
      <c r="T216" s="101">
        <f t="shared" si="37"/>
        <v>0</v>
      </c>
      <c r="U216" s="122"/>
      <c r="V216" s="300"/>
      <c r="W216" s="131">
        <f t="shared" si="40"/>
        <v>0</v>
      </c>
      <c r="X216" s="62">
        <f t="shared" si="38"/>
        <v>0</v>
      </c>
      <c r="Y216" s="63" t="str">
        <f t="shared" si="31"/>
        <v/>
      </c>
      <c r="Z216" s="133">
        <f>(IF(OR($B216=0,$C216=0,$D216=0),0,IF(OR($E216=0,($G216+$F216=0),$H216=0),0,MIN((VLOOKUP($E216,$A$232:$C$241,3,0))*(IF($E216=6,$W216,$O216))*((MIN((VLOOKUP($E216,$A$232:$E$241,5,0)),(IF($E216=6,$O216,$W216))))),MIN((VLOOKUP($E216,$A$232:$C$241,3,0)),($F216+$G216))*(IF($E216=6,$W216,((MIN((VLOOKUP($E216,$A$232:$E$241,5,0)),$W216)))))))))*$X216</f>
        <v>0</v>
      </c>
      <c r="AA216" s="139">
        <f t="shared" si="32"/>
        <v>0</v>
      </c>
      <c r="AB216" s="126"/>
      <c r="AC216" s="295"/>
      <c r="AD216" s="295"/>
      <c r="AF216" s="359">
        <f t="shared" si="39"/>
        <v>0</v>
      </c>
    </row>
    <row r="217" spans="1:239" s="22" customFormat="1" ht="24.75" customHeight="1" outlineLevel="1" x14ac:dyDescent="0.2">
      <c r="A217" s="177">
        <v>214</v>
      </c>
      <c r="B217" s="325"/>
      <c r="C217" s="334"/>
      <c r="D217" s="334"/>
      <c r="E217" s="326"/>
      <c r="F217" s="327"/>
      <c r="G217" s="328"/>
      <c r="H217" s="329"/>
      <c r="I217" s="329"/>
      <c r="J217" s="330"/>
      <c r="K217" s="331">
        <f>(IF(OR($B217=0,$C217=0,$D217=0),0,IF(OR($E217=0,($G217+$F217=0),$H217=0),0,MIN((VLOOKUP($E217,$A$232:$C$241,3,0))*(IF($E217=6,$I217,$H217))*((MIN((VLOOKUP($E217,$A$232:$E$241,5,0)),(IF($E217=6,$H217,$I217))))),MIN((VLOOKUP($E217,$A$232:$C$241,3,0)),($F217+$G217))*(IF($E217=6,$I217,((MIN((VLOOKUP($E217,$A$232:$E$241,5,0)),$I217)))))))))*$J217</f>
        <v>0</v>
      </c>
      <c r="L217" s="332">
        <f t="shared" si="33"/>
        <v>0</v>
      </c>
      <c r="M217" s="333">
        <f t="shared" si="34"/>
        <v>0</v>
      </c>
      <c r="N217" s="277" t="str">
        <f>IF(E217&gt;0,MIN((VLOOKUP($E217,$A$232:$C$241,3,0)),($F217+$G217)),"")</f>
        <v/>
      </c>
      <c r="O217" s="273">
        <f>IF(E217=6,(MIN(VLOOKUP($E217,$A$232:$E$241,5,0),H217)),H217)</f>
        <v>0</v>
      </c>
      <c r="P217" s="272">
        <f>IF(E217=6,I217,IF(E217&gt;0,MIN((VLOOKUP($E217,$A$232:$E$241,5,0)),(I217)),0))*(1-$T$2)</f>
        <v>0</v>
      </c>
      <c r="Q217" s="62">
        <f t="shared" si="35"/>
        <v>0</v>
      </c>
      <c r="R217" s="274" t="str">
        <f t="shared" si="36"/>
        <v/>
      </c>
      <c r="S217" s="269">
        <f>(IF(OR($B217=0,$C217=0,$D217=0),0,IF(OR($E217=0,($G217+$F217=0),$H217=0),0,MIN((VLOOKUP($E217,$A$232:$C$241,3,0))*(IF($E217=6,$P217,$O217))*((MIN((VLOOKUP($E217,$A$232:$E$241,5,0)),(IF($E217=6,$O217,$P217))))),MIN((VLOOKUP($E217,$A$232:$C$241,3,0)),($F217+$G217))*(IF($E217=6,$P217,((MIN((VLOOKUP($E217,$A$232:$E$241,5,0)),$P217)))))))))*$Q217</f>
        <v>0</v>
      </c>
      <c r="T217" s="101">
        <f t="shared" si="37"/>
        <v>0</v>
      </c>
      <c r="U217" s="122"/>
      <c r="V217" s="300"/>
      <c r="W217" s="131">
        <f t="shared" si="40"/>
        <v>0</v>
      </c>
      <c r="X217" s="62">
        <f t="shared" si="38"/>
        <v>0</v>
      </c>
      <c r="Y217" s="63" t="str">
        <f t="shared" si="31"/>
        <v/>
      </c>
      <c r="Z217" s="133">
        <f>(IF(OR($B217=0,$C217=0,$D217=0),0,IF(OR($E217=0,($G217+$F217=0),$H217=0),0,MIN((VLOOKUP($E217,$A$232:$C$241,3,0))*(IF($E217=6,$W217,$O217))*((MIN((VLOOKUP($E217,$A$232:$E$241,5,0)),(IF($E217=6,$O217,$W217))))),MIN((VLOOKUP($E217,$A$232:$C$241,3,0)),($F217+$G217))*(IF($E217=6,$W217,((MIN((VLOOKUP($E217,$A$232:$E$241,5,0)),$W217)))))))))*$X217</f>
        <v>0</v>
      </c>
      <c r="AA217" s="139">
        <f t="shared" si="32"/>
        <v>0</v>
      </c>
      <c r="AB217" s="126"/>
      <c r="AC217" s="295"/>
      <c r="AD217" s="295"/>
      <c r="AF217" s="359">
        <f t="shared" si="39"/>
        <v>0</v>
      </c>
    </row>
    <row r="218" spans="1:239" s="22" customFormat="1" ht="24.75" customHeight="1" outlineLevel="1" x14ac:dyDescent="0.2">
      <c r="A218" s="177">
        <v>215</v>
      </c>
      <c r="B218" s="325"/>
      <c r="C218" s="334"/>
      <c r="D218" s="334"/>
      <c r="E218" s="326"/>
      <c r="F218" s="327"/>
      <c r="G218" s="328"/>
      <c r="H218" s="329"/>
      <c r="I218" s="329"/>
      <c r="J218" s="330"/>
      <c r="K218" s="331">
        <f>(IF(OR($B218=0,$C218=0,$D218=0),0,IF(OR($E218=0,($G218+$F218=0),$H218=0),0,MIN((VLOOKUP($E218,$A$232:$C$241,3,0))*(IF($E218=6,$I218,$H218))*((MIN((VLOOKUP($E218,$A$232:$E$241,5,0)),(IF($E218=6,$H218,$I218))))),MIN((VLOOKUP($E218,$A$232:$C$241,3,0)),($F218+$G218))*(IF($E218=6,$I218,((MIN((VLOOKUP($E218,$A$232:$E$241,5,0)),$I218)))))))))*$J218</f>
        <v>0</v>
      </c>
      <c r="L218" s="332">
        <f t="shared" si="33"/>
        <v>0</v>
      </c>
      <c r="M218" s="333">
        <f t="shared" si="34"/>
        <v>0</v>
      </c>
      <c r="N218" s="277" t="str">
        <f>IF(E218&gt;0,MIN((VLOOKUP($E218,$A$232:$C$241,3,0)),($F218+$G218)),"")</f>
        <v/>
      </c>
      <c r="O218" s="273">
        <f>IF(E218=6,(MIN(VLOOKUP($E218,$A$232:$E$241,5,0),H218)),H218)</f>
        <v>0</v>
      </c>
      <c r="P218" s="272">
        <f>IF(E218=6,I218,IF(E218&gt;0,MIN((VLOOKUP($E218,$A$232:$E$241,5,0)),(I218)),0))*(1-$T$2)</f>
        <v>0</v>
      </c>
      <c r="Q218" s="62">
        <f t="shared" si="35"/>
        <v>0</v>
      </c>
      <c r="R218" s="274" t="str">
        <f t="shared" si="36"/>
        <v/>
      </c>
      <c r="S218" s="269">
        <f>(IF(OR($B218=0,$C218=0,$D218=0),0,IF(OR($E218=0,($G218+$F218=0),$H218=0),0,MIN((VLOOKUP($E218,$A$232:$C$241,3,0))*(IF($E218=6,$P218,$O218))*((MIN((VLOOKUP($E218,$A$232:$E$241,5,0)),(IF($E218=6,$O218,$P218))))),MIN((VLOOKUP($E218,$A$232:$C$241,3,0)),($F218+$G218))*(IF($E218=6,$P218,((MIN((VLOOKUP($E218,$A$232:$E$241,5,0)),$P218)))))))))*$Q218</f>
        <v>0</v>
      </c>
      <c r="T218" s="101">
        <f t="shared" si="37"/>
        <v>0</v>
      </c>
      <c r="U218" s="122"/>
      <c r="V218" s="300"/>
      <c r="W218" s="131">
        <f t="shared" si="40"/>
        <v>0</v>
      </c>
      <c r="X218" s="62">
        <f t="shared" si="38"/>
        <v>0</v>
      </c>
      <c r="Y218" s="63" t="str">
        <f t="shared" si="31"/>
        <v/>
      </c>
      <c r="Z218" s="133">
        <f>(IF(OR($B218=0,$C218=0,$D218=0),0,IF(OR($E218=0,($G218+$F218=0),$H218=0),0,MIN((VLOOKUP($E218,$A$232:$C$241,3,0))*(IF($E218=6,$W218,$O218))*((MIN((VLOOKUP($E218,$A$232:$E$241,5,0)),(IF($E218=6,$O218,$W218))))),MIN((VLOOKUP($E218,$A$232:$C$241,3,0)),($F218+$G218))*(IF($E218=6,$W218,((MIN((VLOOKUP($E218,$A$232:$E$241,5,0)),$W218)))))))))*$X218</f>
        <v>0</v>
      </c>
      <c r="AA218" s="139">
        <f t="shared" si="32"/>
        <v>0</v>
      </c>
      <c r="AB218" s="126"/>
      <c r="AC218" s="295"/>
      <c r="AD218" s="295"/>
      <c r="AF218" s="359">
        <f t="shared" si="39"/>
        <v>0</v>
      </c>
    </row>
    <row r="219" spans="1:239" s="22" customFormat="1" ht="24.75" customHeight="1" outlineLevel="1" x14ac:dyDescent="0.2">
      <c r="A219" s="177">
        <v>216</v>
      </c>
      <c r="B219" s="325"/>
      <c r="C219" s="334"/>
      <c r="D219" s="334"/>
      <c r="E219" s="326"/>
      <c r="F219" s="327"/>
      <c r="G219" s="328"/>
      <c r="H219" s="329"/>
      <c r="I219" s="329"/>
      <c r="J219" s="330"/>
      <c r="K219" s="331">
        <f>(IF(OR($B219=0,$C219=0,$D219=0),0,IF(OR($E219=0,($G219+$F219=0),$H219=0),0,MIN((VLOOKUP($E219,$A$232:$C$241,3,0))*(IF($E219=6,$I219,$H219))*((MIN((VLOOKUP($E219,$A$232:$E$241,5,0)),(IF($E219=6,$H219,$I219))))),MIN((VLOOKUP($E219,$A$232:$C$241,3,0)),($F219+$G219))*(IF($E219=6,$I219,((MIN((VLOOKUP($E219,$A$232:$E$241,5,0)),$I219)))))))))*$J219</f>
        <v>0</v>
      </c>
      <c r="L219" s="332">
        <f t="shared" si="33"/>
        <v>0</v>
      </c>
      <c r="M219" s="333">
        <f t="shared" si="34"/>
        <v>0</v>
      </c>
      <c r="N219" s="277" t="str">
        <f>IF(E219&gt;0,MIN((VLOOKUP($E219,$A$232:$C$241,3,0)),($F219+$G219)),"")</f>
        <v/>
      </c>
      <c r="O219" s="273">
        <f>IF(E219=6,(MIN(VLOOKUP($E219,$A$232:$E$241,5,0),H219)),H219)</f>
        <v>0</v>
      </c>
      <c r="P219" s="272">
        <f>IF(E219=6,I219,IF(E219&gt;0,MIN((VLOOKUP($E219,$A$232:$E$241,5,0)),(I219)),0))*(1-$T$2)</f>
        <v>0</v>
      </c>
      <c r="Q219" s="62">
        <f t="shared" si="35"/>
        <v>0</v>
      </c>
      <c r="R219" s="274" t="str">
        <f t="shared" si="36"/>
        <v/>
      </c>
      <c r="S219" s="269">
        <f>(IF(OR($B219=0,$C219=0,$D219=0),0,IF(OR($E219=0,($G219+$F219=0),$H219=0),0,MIN((VLOOKUP($E219,$A$232:$C$241,3,0))*(IF($E219=6,$P219,$O219))*((MIN((VLOOKUP($E219,$A$232:$E$241,5,0)),(IF($E219=6,$O219,$P219))))),MIN((VLOOKUP($E219,$A$232:$C$241,3,0)),($F219+$G219))*(IF($E219=6,$P219,((MIN((VLOOKUP($E219,$A$232:$E$241,5,0)),$P219)))))))))*$Q219</f>
        <v>0</v>
      </c>
      <c r="T219" s="101">
        <f t="shared" si="37"/>
        <v>0</v>
      </c>
      <c r="U219" s="122"/>
      <c r="V219" s="300"/>
      <c r="W219" s="131">
        <f t="shared" si="40"/>
        <v>0</v>
      </c>
      <c r="X219" s="62">
        <f t="shared" si="38"/>
        <v>0</v>
      </c>
      <c r="Y219" s="63" t="str">
        <f t="shared" si="31"/>
        <v/>
      </c>
      <c r="Z219" s="133">
        <f>(IF(OR($B219=0,$C219=0,$D219=0),0,IF(OR($E219=0,($G219+$F219=0),$H219=0),0,MIN((VLOOKUP($E219,$A$232:$C$241,3,0))*(IF($E219=6,$W219,$O219))*((MIN((VLOOKUP($E219,$A$232:$E$241,5,0)),(IF($E219=6,$O219,$W219))))),MIN((VLOOKUP($E219,$A$232:$C$241,3,0)),($F219+$G219))*(IF($E219=6,$W219,((MIN((VLOOKUP($E219,$A$232:$E$241,5,0)),$W219)))))))))*$X219</f>
        <v>0</v>
      </c>
      <c r="AA219" s="139">
        <f t="shared" si="32"/>
        <v>0</v>
      </c>
      <c r="AB219" s="126"/>
      <c r="AC219" s="295"/>
      <c r="AD219" s="295"/>
      <c r="AF219" s="359">
        <f t="shared" si="39"/>
        <v>0</v>
      </c>
    </row>
    <row r="220" spans="1:239" s="22" customFormat="1" ht="24.75" customHeight="1" outlineLevel="1" x14ac:dyDescent="0.2">
      <c r="A220" s="177">
        <v>217</v>
      </c>
      <c r="B220" s="325"/>
      <c r="C220" s="334"/>
      <c r="D220" s="334"/>
      <c r="E220" s="326"/>
      <c r="F220" s="327"/>
      <c r="G220" s="328"/>
      <c r="H220" s="329"/>
      <c r="I220" s="329"/>
      <c r="J220" s="330"/>
      <c r="K220" s="331">
        <f>(IF(OR($B220=0,$C220=0,$D220=0),0,IF(OR($E220=0,($G220+$F220=0),$H220=0),0,MIN((VLOOKUP($E220,$A$232:$C$241,3,0))*(IF($E220=6,$I220,$H220))*((MIN((VLOOKUP($E220,$A$232:$E$241,5,0)),(IF($E220=6,$H220,$I220))))),MIN((VLOOKUP($E220,$A$232:$C$241,3,0)),($F220+$G220))*(IF($E220=6,$I220,((MIN((VLOOKUP($E220,$A$232:$E$241,5,0)),$I220)))))))))*$J220</f>
        <v>0</v>
      </c>
      <c r="L220" s="332">
        <f t="shared" si="33"/>
        <v>0</v>
      </c>
      <c r="M220" s="333">
        <f t="shared" si="34"/>
        <v>0</v>
      </c>
      <c r="N220" s="277" t="str">
        <f>IF(E220&gt;0,MIN((VLOOKUP($E220,$A$232:$C$241,3,0)),($F220+$G220)),"")</f>
        <v/>
      </c>
      <c r="O220" s="273">
        <f>IF(E220=6,(MIN(VLOOKUP($E220,$A$232:$E$241,5,0),H220)),H220)</f>
        <v>0</v>
      </c>
      <c r="P220" s="272">
        <f>IF(E220=6,I220,IF(E220&gt;0,MIN((VLOOKUP($E220,$A$232:$E$241,5,0)),(I220)),0))*(1-$T$2)</f>
        <v>0</v>
      </c>
      <c r="Q220" s="62">
        <f t="shared" si="35"/>
        <v>0</v>
      </c>
      <c r="R220" s="274" t="str">
        <f t="shared" si="36"/>
        <v/>
      </c>
      <c r="S220" s="269">
        <f>(IF(OR($B220=0,$C220=0,$D220=0),0,IF(OR($E220=0,($G220+$F220=0),$H220=0),0,MIN((VLOOKUP($E220,$A$232:$C$241,3,0))*(IF($E220=6,$P220,$O220))*((MIN((VLOOKUP($E220,$A$232:$E$241,5,0)),(IF($E220=6,$O220,$P220))))),MIN((VLOOKUP($E220,$A$232:$C$241,3,0)),($F220+$G220))*(IF($E220=6,$P220,((MIN((VLOOKUP($E220,$A$232:$E$241,5,0)),$P220)))))))))*$Q220</f>
        <v>0</v>
      </c>
      <c r="T220" s="101">
        <f t="shared" si="37"/>
        <v>0</v>
      </c>
      <c r="U220" s="122"/>
      <c r="V220" s="300"/>
      <c r="W220" s="131">
        <f t="shared" si="40"/>
        <v>0</v>
      </c>
      <c r="X220" s="62">
        <f t="shared" si="38"/>
        <v>0</v>
      </c>
      <c r="Y220" s="63" t="str">
        <f t="shared" si="31"/>
        <v/>
      </c>
      <c r="Z220" s="133">
        <f>(IF(OR($B220=0,$C220=0,$D220=0),0,IF(OR($E220=0,($G220+$F220=0),$H220=0),0,MIN((VLOOKUP($E220,$A$232:$C$241,3,0))*(IF($E220=6,$W220,$O220))*((MIN((VLOOKUP($E220,$A$232:$E$241,5,0)),(IF($E220=6,$O220,$W220))))),MIN((VLOOKUP($E220,$A$232:$C$241,3,0)),($F220+$G220))*(IF($E220=6,$W220,((MIN((VLOOKUP($E220,$A$232:$E$241,5,0)),$W220)))))))))*$X220</f>
        <v>0</v>
      </c>
      <c r="AA220" s="139">
        <f t="shared" si="32"/>
        <v>0</v>
      </c>
      <c r="AB220" s="126"/>
      <c r="AC220" s="295"/>
      <c r="AD220" s="295"/>
      <c r="AF220" s="359">
        <f t="shared" si="39"/>
        <v>0</v>
      </c>
    </row>
    <row r="221" spans="1:239" s="22" customFormat="1" ht="24.75" customHeight="1" outlineLevel="1" x14ac:dyDescent="0.2">
      <c r="A221" s="177">
        <v>218</v>
      </c>
      <c r="B221" s="325"/>
      <c r="C221" s="334"/>
      <c r="D221" s="334"/>
      <c r="E221" s="326"/>
      <c r="F221" s="327"/>
      <c r="G221" s="328"/>
      <c r="H221" s="329"/>
      <c r="I221" s="329"/>
      <c r="J221" s="330"/>
      <c r="K221" s="331">
        <f>(IF(OR($B221=0,$C221=0,$D221=0),0,IF(OR($E221=0,($G221+$F221=0),$H221=0),0,MIN((VLOOKUP($E221,$A$232:$C$241,3,0))*(IF($E221=6,$I221,$H221))*((MIN((VLOOKUP($E221,$A$232:$E$241,5,0)),(IF($E221=6,$H221,$I221))))),MIN((VLOOKUP($E221,$A$232:$C$241,3,0)),($F221+$G221))*(IF($E221=6,$I221,((MIN((VLOOKUP($E221,$A$232:$E$241,5,0)),$I221)))))))))*$J221</f>
        <v>0</v>
      </c>
      <c r="L221" s="332">
        <f t="shared" si="33"/>
        <v>0</v>
      </c>
      <c r="M221" s="333">
        <f t="shared" si="34"/>
        <v>0</v>
      </c>
      <c r="N221" s="277" t="str">
        <f>IF(E221&gt;0,MIN((VLOOKUP($E221,$A$232:$C$241,3,0)),($F221+$G221)),"")</f>
        <v/>
      </c>
      <c r="O221" s="273">
        <f>IF(E221=6,(MIN(VLOOKUP($E221,$A$232:$E$241,5,0),H221)),H221)</f>
        <v>0</v>
      </c>
      <c r="P221" s="272">
        <f>IF(E221=6,I221,IF(E221&gt;0,MIN((VLOOKUP($E221,$A$232:$E$241,5,0)),(I221)),0))*(1-$T$2)</f>
        <v>0</v>
      </c>
      <c r="Q221" s="62">
        <f t="shared" si="35"/>
        <v>0</v>
      </c>
      <c r="R221" s="274" t="str">
        <f t="shared" si="36"/>
        <v/>
      </c>
      <c r="S221" s="269">
        <f>(IF(OR($B221=0,$C221=0,$D221=0),0,IF(OR($E221=0,($G221+$F221=0),$H221=0),0,MIN((VLOOKUP($E221,$A$232:$C$241,3,0))*(IF($E221=6,$P221,$O221))*((MIN((VLOOKUP($E221,$A$232:$E$241,5,0)),(IF($E221=6,$O221,$P221))))),MIN((VLOOKUP($E221,$A$232:$C$241,3,0)),($F221+$G221))*(IF($E221=6,$P221,((MIN((VLOOKUP($E221,$A$232:$E$241,5,0)),$P221)))))))))*$Q221</f>
        <v>0</v>
      </c>
      <c r="T221" s="101">
        <f t="shared" si="37"/>
        <v>0</v>
      </c>
      <c r="U221" s="122"/>
      <c r="V221" s="300"/>
      <c r="W221" s="131">
        <f t="shared" si="40"/>
        <v>0</v>
      </c>
      <c r="X221" s="62">
        <f t="shared" si="38"/>
        <v>0</v>
      </c>
      <c r="Y221" s="63" t="str">
        <f t="shared" si="31"/>
        <v/>
      </c>
      <c r="Z221" s="133">
        <f>(IF(OR($B221=0,$C221=0,$D221=0),0,IF(OR($E221=0,($G221+$F221=0),$H221=0),0,MIN((VLOOKUP($E221,$A$232:$C$241,3,0))*(IF($E221=6,$W221,$O221))*((MIN((VLOOKUP($E221,$A$232:$E$241,5,0)),(IF($E221=6,$O221,$W221))))),MIN((VLOOKUP($E221,$A$232:$C$241,3,0)),($F221+$G221))*(IF($E221=6,$W221,((MIN((VLOOKUP($E221,$A$232:$E$241,5,0)),$W221)))))))))*$X221</f>
        <v>0</v>
      </c>
      <c r="AA221" s="139">
        <f t="shared" si="32"/>
        <v>0</v>
      </c>
      <c r="AB221" s="126"/>
      <c r="AC221" s="295"/>
      <c r="AD221" s="295"/>
      <c r="AF221" s="359">
        <f t="shared" si="39"/>
        <v>0</v>
      </c>
    </row>
    <row r="222" spans="1:239" s="22" customFormat="1" ht="24.75" customHeight="1" outlineLevel="1" x14ac:dyDescent="0.2">
      <c r="A222" s="177">
        <v>219</v>
      </c>
      <c r="B222" s="325"/>
      <c r="C222" s="334"/>
      <c r="D222" s="334"/>
      <c r="E222" s="326"/>
      <c r="F222" s="327"/>
      <c r="G222" s="328"/>
      <c r="H222" s="329"/>
      <c r="I222" s="329"/>
      <c r="J222" s="330"/>
      <c r="K222" s="331">
        <f>(IF(OR($B222=0,$C222=0,$D222=0),0,IF(OR($E222=0,($G222+$F222=0),$H222=0),0,MIN((VLOOKUP($E222,$A$232:$C$241,3,0))*(IF($E222=6,$I222,$H222))*((MIN((VLOOKUP($E222,$A$232:$E$241,5,0)),(IF($E222=6,$H222,$I222))))),MIN((VLOOKUP($E222,$A$232:$C$241,3,0)),($F222+$G222))*(IF($E222=6,$I222,((MIN((VLOOKUP($E222,$A$232:$E$241,5,0)),$I222)))))))))*$J222</f>
        <v>0</v>
      </c>
      <c r="L222" s="332">
        <f t="shared" si="33"/>
        <v>0</v>
      </c>
      <c r="M222" s="333">
        <f t="shared" si="34"/>
        <v>0</v>
      </c>
      <c r="N222" s="277" t="str">
        <f>IF(E222&gt;0,MIN((VLOOKUP($E222,$A$232:$C$241,3,0)),($F222+$G222)),"")</f>
        <v/>
      </c>
      <c r="O222" s="273">
        <f>IF(E222=6,(MIN(VLOOKUP($E222,$A$232:$E$241,5,0),H222)),H222)</f>
        <v>0</v>
      </c>
      <c r="P222" s="272">
        <f>IF(E222=6,I222,IF(E222&gt;0,MIN((VLOOKUP($E222,$A$232:$E$241,5,0)),(I222)),0))*(1-$T$2)</f>
        <v>0</v>
      </c>
      <c r="Q222" s="62">
        <f t="shared" si="35"/>
        <v>0</v>
      </c>
      <c r="R222" s="274" t="str">
        <f t="shared" si="36"/>
        <v/>
      </c>
      <c r="S222" s="269">
        <f>(IF(OR($B222=0,$C222=0,$D222=0),0,IF(OR($E222=0,($G222+$F222=0),$H222=0),0,MIN((VLOOKUP($E222,$A$232:$C$241,3,0))*(IF($E222=6,$P222,$O222))*((MIN((VLOOKUP($E222,$A$232:$E$241,5,0)),(IF($E222=6,$O222,$P222))))),MIN((VLOOKUP($E222,$A$232:$C$241,3,0)),($F222+$G222))*(IF($E222=6,$P222,((MIN((VLOOKUP($E222,$A$232:$E$241,5,0)),$P222)))))))))*$Q222</f>
        <v>0</v>
      </c>
      <c r="T222" s="101">
        <f t="shared" si="37"/>
        <v>0</v>
      </c>
      <c r="U222" s="122"/>
      <c r="V222" s="300"/>
      <c r="W222" s="131">
        <f t="shared" si="40"/>
        <v>0</v>
      </c>
      <c r="X222" s="62">
        <f t="shared" si="38"/>
        <v>0</v>
      </c>
      <c r="Y222" s="63" t="str">
        <f t="shared" si="31"/>
        <v/>
      </c>
      <c r="Z222" s="133">
        <f>(IF(OR($B222=0,$C222=0,$D222=0),0,IF(OR($E222=0,($G222+$F222=0),$H222=0),0,MIN((VLOOKUP($E222,$A$232:$C$241,3,0))*(IF($E222=6,$W222,$O222))*((MIN((VLOOKUP($E222,$A$232:$E$241,5,0)),(IF($E222=6,$O222,$W222))))),MIN((VLOOKUP($E222,$A$232:$C$241,3,0)),($F222+$G222))*(IF($E222=6,$W222,((MIN((VLOOKUP($E222,$A$232:$E$241,5,0)),$W222)))))))))*$X222</f>
        <v>0</v>
      </c>
      <c r="AA222" s="139">
        <f t="shared" si="32"/>
        <v>0</v>
      </c>
      <c r="AB222" s="126"/>
      <c r="AC222" s="295"/>
      <c r="AD222" s="295"/>
      <c r="AF222" s="359">
        <f t="shared" si="39"/>
        <v>0</v>
      </c>
    </row>
    <row r="223" spans="1:239" s="22" customFormat="1" ht="24.75" customHeight="1" outlineLevel="1" thickBot="1" x14ac:dyDescent="0.25">
      <c r="A223" s="178">
        <v>220</v>
      </c>
      <c r="B223" s="335"/>
      <c r="C223" s="336"/>
      <c r="D223" s="336"/>
      <c r="E223" s="326"/>
      <c r="F223" s="327"/>
      <c r="G223" s="328"/>
      <c r="H223" s="329"/>
      <c r="I223" s="329"/>
      <c r="J223" s="330"/>
      <c r="K223" s="331">
        <f>(IF(OR($B223=0,$C223=0,$D223=0),0,IF(OR($E223=0,($G223+$F223=0),$H223=0),0,MIN((VLOOKUP($E223,$A$232:$C$241,3,0))*(IF($E223=6,$I223,$H223))*((MIN((VLOOKUP($E223,$A$232:$E$241,5,0)),(IF($E223=6,$H223,$I223))))),MIN((VLOOKUP($E223,$A$232:$C$241,3,0)),($F223+$G223))*(IF($E223=6,$I223,((MIN((VLOOKUP($E223,$A$232:$E$241,5,0)),$I223)))))))))*$J223</f>
        <v>0</v>
      </c>
      <c r="L223" s="332">
        <f t="shared" si="33"/>
        <v>0</v>
      </c>
      <c r="M223" s="333">
        <f t="shared" si="34"/>
        <v>0</v>
      </c>
      <c r="N223" s="277" t="str">
        <f>IF(E223&gt;0,MIN((VLOOKUP($E223,$A$232:$C$241,3,0)),($F223+$G223)),"")</f>
        <v/>
      </c>
      <c r="O223" s="273">
        <f>IF(E223=6,(MIN(VLOOKUP($E223,$A$232:$E$241,5,0),H223)),H223)</f>
        <v>0</v>
      </c>
      <c r="P223" s="272">
        <f>IF(E223=6,I223,IF(E223&gt;0,MIN((VLOOKUP($E223,$A$232:$E$241,5,0)),(I223)),0))*(1-$T$2)</f>
        <v>0</v>
      </c>
      <c r="Q223" s="62">
        <f t="shared" si="35"/>
        <v>0</v>
      </c>
      <c r="R223" s="274" t="str">
        <f t="shared" si="36"/>
        <v/>
      </c>
      <c r="S223" s="269">
        <f>(IF(OR($B223=0,$C223=0,$D223=0),0,IF(OR($E223=0,($G223+$F223=0),$H223=0),0,MIN((VLOOKUP($E223,$A$232:$C$241,3,0))*(IF($E223=6,$P223,$O223))*((MIN((VLOOKUP($E223,$A$232:$E$241,5,0)),(IF($E223=6,$O223,$P223))))),MIN((VLOOKUP($E223,$A$232:$C$241,3,0)),($F223+$G223))*(IF($E223=6,$P223,((MIN((VLOOKUP($E223,$A$232:$E$241,5,0)),$P223)))))))))*$Q223</f>
        <v>0</v>
      </c>
      <c r="T223" s="101">
        <f t="shared" si="37"/>
        <v>0</v>
      </c>
      <c r="U223" s="122"/>
      <c r="V223" s="300"/>
      <c r="W223" s="131">
        <f t="shared" si="40"/>
        <v>0</v>
      </c>
      <c r="X223" s="204">
        <f t="shared" si="38"/>
        <v>0</v>
      </c>
      <c r="Y223" s="63" t="str">
        <f t="shared" si="31"/>
        <v/>
      </c>
      <c r="Z223" s="133">
        <f>(IF(OR($B223=0,$C223=0,$D223=0),0,IF(OR($E223=0,($G223+$F223=0),$H223=0),0,MIN((VLOOKUP($E223,$A$232:$C$241,3,0))*(IF($E223=6,$W223,$O223))*((MIN((VLOOKUP($E223,$A$232:$E$241,5,0)),(IF($E223=6,$O223,$W223))))),MIN((VLOOKUP($E223,$A$232:$C$241,3,0)),($F223+$G223))*(IF($E223=6,$W223,((MIN((VLOOKUP($E223,$A$232:$E$241,5,0)),$W223)))))))))*$X223</f>
        <v>0</v>
      </c>
      <c r="AA223" s="139">
        <f t="shared" si="32"/>
        <v>0</v>
      </c>
      <c r="AB223" s="126"/>
      <c r="AC223" s="295"/>
      <c r="AD223" s="295"/>
      <c r="AF223" s="359">
        <f t="shared" si="39"/>
        <v>0</v>
      </c>
    </row>
    <row r="224" spans="1:239" s="51" customFormat="1" ht="18.75" customHeight="1" x14ac:dyDescent="0.2">
      <c r="A224" s="50"/>
      <c r="B224" s="551" t="s">
        <v>35</v>
      </c>
      <c r="C224" s="552"/>
      <c r="D224" s="553"/>
      <c r="E224" s="553"/>
      <c r="F224" s="337">
        <f>SUM(F4:F223)</f>
        <v>0</v>
      </c>
      <c r="G224" s="230">
        <f>SUM(G4:G223)</f>
        <v>0</v>
      </c>
      <c r="H224" s="230"/>
      <c r="I224" s="230"/>
      <c r="J224" s="338"/>
      <c r="K224" s="432">
        <f>SUM(K4:K223)</f>
        <v>0</v>
      </c>
      <c r="L224" s="339">
        <f>SUM(L4:L223)</f>
        <v>0</v>
      </c>
      <c r="M224" s="338">
        <f>SUM(M4:M223)</f>
        <v>0</v>
      </c>
      <c r="N224" s="73"/>
      <c r="O224" s="73"/>
      <c r="P224" s="73"/>
      <c r="Q224" s="74">
        <f>SUM(Q4:Q223)</f>
        <v>0</v>
      </c>
      <c r="R224" s="81"/>
      <c r="S224" s="74">
        <f>SUM(S4:S223)</f>
        <v>0</v>
      </c>
      <c r="T224" s="78">
        <f>SUM(T4:T223)</f>
        <v>0</v>
      </c>
      <c r="U224" s="122"/>
      <c r="V224" s="300"/>
      <c r="W224" s="205">
        <f>IF($AA$2&gt;0,$AA$2*P224,P224)</f>
        <v>0</v>
      </c>
      <c r="X224" s="206">
        <f t="shared" si="38"/>
        <v>0</v>
      </c>
      <c r="Y224" s="207" t="str">
        <f>IF(AND($AA$2&gt;0,W224&gt;0),(IF(($AA$2*P224=W224),"קיצוץ אחיד","נימוק?")),(IF((W224-P224=0),"","נימוק?")))</f>
        <v/>
      </c>
      <c r="Z224" s="208">
        <f>SUM(Z4:Z223)</f>
        <v>0</v>
      </c>
      <c r="AA224" s="209">
        <f>SUM(AA4:AA223)</f>
        <v>0</v>
      </c>
      <c r="AB224" s="126"/>
      <c r="AC224" s="295"/>
      <c r="AD224" s="295"/>
      <c r="AE224" s="22"/>
      <c r="AF224" s="360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  <c r="CK224" s="22"/>
      <c r="CL224" s="22"/>
      <c r="CM224" s="22"/>
      <c r="CN224" s="22"/>
      <c r="CO224" s="22"/>
      <c r="CP224" s="22"/>
      <c r="CQ224" s="22"/>
      <c r="CR224" s="22"/>
      <c r="CS224" s="22"/>
      <c r="CT224" s="22"/>
      <c r="CU224" s="22"/>
      <c r="CV224" s="22"/>
      <c r="CW224" s="22"/>
      <c r="CX224" s="22"/>
      <c r="CY224" s="22"/>
      <c r="CZ224" s="22"/>
      <c r="DA224" s="22"/>
      <c r="DB224" s="22"/>
      <c r="DC224" s="22"/>
      <c r="DD224" s="22"/>
      <c r="DE224" s="22"/>
      <c r="DF224" s="22"/>
      <c r="DG224" s="22"/>
      <c r="DH224" s="22"/>
      <c r="DI224" s="22"/>
      <c r="DJ224" s="22"/>
      <c r="DK224" s="22"/>
      <c r="DL224" s="22"/>
      <c r="DM224" s="22"/>
      <c r="DN224" s="22"/>
      <c r="DO224" s="22"/>
      <c r="DP224" s="22"/>
      <c r="DQ224" s="22"/>
      <c r="DR224" s="22"/>
      <c r="DS224" s="22"/>
      <c r="DT224" s="22"/>
      <c r="DU224" s="22"/>
      <c r="DV224" s="22"/>
      <c r="DW224" s="22"/>
      <c r="DX224" s="22"/>
      <c r="DY224" s="22"/>
      <c r="DZ224" s="22"/>
      <c r="EA224" s="22"/>
      <c r="EB224" s="22"/>
      <c r="EC224" s="22"/>
      <c r="ED224" s="22"/>
      <c r="EE224" s="22"/>
      <c r="EF224" s="22"/>
      <c r="EG224" s="22"/>
      <c r="EH224" s="22"/>
      <c r="EI224" s="22"/>
      <c r="EJ224" s="22"/>
      <c r="EK224" s="22"/>
      <c r="EL224" s="22"/>
      <c r="EM224" s="22"/>
      <c r="EN224" s="22"/>
      <c r="EO224" s="22"/>
      <c r="EP224" s="22"/>
      <c r="EQ224" s="22"/>
      <c r="ER224" s="22"/>
      <c r="ES224" s="22"/>
      <c r="ET224" s="22"/>
      <c r="EU224" s="22"/>
      <c r="EV224" s="22"/>
      <c r="EW224" s="22"/>
      <c r="EX224" s="22"/>
      <c r="EY224" s="22"/>
      <c r="EZ224" s="22"/>
      <c r="FA224" s="22"/>
      <c r="FB224" s="22"/>
      <c r="FC224" s="22"/>
      <c r="FD224" s="22"/>
      <c r="FE224" s="22"/>
      <c r="FF224" s="22"/>
      <c r="FG224" s="22"/>
      <c r="FH224" s="22"/>
      <c r="FI224" s="22"/>
      <c r="FJ224" s="22"/>
      <c r="FK224" s="22"/>
      <c r="FL224" s="22"/>
      <c r="FM224" s="22"/>
      <c r="FN224" s="22"/>
      <c r="FO224" s="22"/>
      <c r="FP224" s="22"/>
      <c r="FQ224" s="22"/>
      <c r="FR224" s="22"/>
      <c r="FS224" s="22"/>
      <c r="FT224" s="22"/>
      <c r="FU224" s="22"/>
      <c r="FV224" s="22"/>
      <c r="FW224" s="22"/>
      <c r="FX224" s="22"/>
      <c r="FY224" s="22"/>
      <c r="FZ224" s="22"/>
      <c r="GA224" s="22"/>
      <c r="GB224" s="22"/>
      <c r="GC224" s="22"/>
      <c r="GD224" s="22"/>
      <c r="GE224" s="22"/>
      <c r="GF224" s="22"/>
      <c r="GG224" s="22"/>
      <c r="GH224" s="22"/>
      <c r="GI224" s="22"/>
      <c r="GJ224" s="22"/>
      <c r="GK224" s="22"/>
      <c r="GL224" s="22"/>
      <c r="GM224" s="22"/>
      <c r="GN224" s="22"/>
      <c r="GO224" s="22"/>
      <c r="GP224" s="22"/>
      <c r="GQ224" s="22"/>
      <c r="GR224" s="22"/>
      <c r="GS224" s="22"/>
      <c r="GT224" s="22"/>
      <c r="GU224" s="22"/>
      <c r="GV224" s="22"/>
      <c r="GW224" s="22"/>
      <c r="GX224" s="22"/>
      <c r="GY224" s="22"/>
      <c r="GZ224" s="22"/>
      <c r="HA224" s="22"/>
      <c r="HB224" s="22"/>
      <c r="HC224" s="22"/>
      <c r="HD224" s="22"/>
      <c r="HE224" s="22"/>
      <c r="HF224" s="22"/>
      <c r="HG224" s="22"/>
      <c r="HH224" s="22"/>
      <c r="HI224" s="22"/>
      <c r="HJ224" s="22"/>
      <c r="HK224" s="22"/>
      <c r="HL224" s="22"/>
      <c r="HM224" s="22"/>
      <c r="HN224" s="22"/>
      <c r="HO224" s="22"/>
      <c r="HP224" s="22"/>
      <c r="HQ224" s="22"/>
      <c r="HR224" s="22"/>
      <c r="HS224" s="22"/>
      <c r="HT224" s="22"/>
      <c r="HU224" s="22"/>
      <c r="HV224" s="22"/>
      <c r="HW224" s="22"/>
      <c r="HX224" s="22"/>
      <c r="HY224" s="22"/>
      <c r="HZ224" s="22"/>
      <c r="IA224" s="22"/>
      <c r="IB224" s="22"/>
      <c r="IC224" s="22"/>
      <c r="ID224" s="22"/>
      <c r="IE224" s="22"/>
    </row>
    <row r="225" spans="1:239" s="51" customFormat="1" ht="18.75" customHeight="1" x14ac:dyDescent="0.2">
      <c r="A225" s="52"/>
      <c r="B225" s="554" t="s">
        <v>36</v>
      </c>
      <c r="C225" s="555"/>
      <c r="D225" s="340"/>
      <c r="E225" s="341">
        <f>+C254</f>
        <v>0.2</v>
      </c>
      <c r="F225" s="470">
        <f>SUMIF($E$4:$E$223,"&lt;&gt;99",F4:F223)*$E$225</f>
        <v>0</v>
      </c>
      <c r="G225" s="343">
        <f>SUMIF($E$4:$E$223,"&lt;&gt;99",G4:G223)*$E$225</f>
        <v>0</v>
      </c>
      <c r="H225" s="343"/>
      <c r="I225" s="343"/>
      <c r="J225" s="344"/>
      <c r="K225" s="470">
        <f>SUMIF($E$4:$E$223,"&lt;&gt;99",K4:K223)*$E$225</f>
        <v>0</v>
      </c>
      <c r="L225" s="471"/>
      <c r="M225" s="342">
        <f>SUMIF($E$4:$E$223,"&lt;&gt;99",M4:M223)*$E$225</f>
        <v>0</v>
      </c>
      <c r="N225" s="75"/>
      <c r="O225" s="75"/>
      <c r="P225" s="75"/>
      <c r="Q225" s="82"/>
      <c r="R225" s="72"/>
      <c r="S225" s="72">
        <f>SUMIF($E$4:$E$223,"&lt;&gt;99",S4:S223)*$E$225</f>
        <v>0</v>
      </c>
      <c r="T225" s="79"/>
      <c r="U225" s="122"/>
      <c r="V225" s="300"/>
      <c r="W225" s="131">
        <f>IF($AA$2&gt;0,$AA$2*P225,P225)</f>
        <v>0</v>
      </c>
      <c r="X225" s="62">
        <f t="shared" si="38"/>
        <v>0</v>
      </c>
      <c r="Y225" s="63" t="str">
        <f>IF(AND($AA$2&gt;0,W225&gt;0),(IF(($AA$2*P225=W225),"קיצוץ אחיד","נימוק?")),(IF((W225-P225=0),"","נימוק?")))</f>
        <v/>
      </c>
      <c r="Z225" s="451">
        <f>SUMIF($E$4:$E$223,"&lt;&gt;99",Z4:Z223)*$E$225</f>
        <v>0</v>
      </c>
      <c r="AA225" s="210"/>
      <c r="AB225" s="126"/>
      <c r="AC225" s="295"/>
      <c r="AD225" s="295"/>
      <c r="AE225" s="22"/>
      <c r="AF225" s="360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  <c r="CO225" s="22"/>
      <c r="CP225" s="22"/>
      <c r="CQ225" s="22"/>
      <c r="CR225" s="22"/>
      <c r="CS225" s="22"/>
      <c r="CT225" s="22"/>
      <c r="CU225" s="22"/>
      <c r="CV225" s="22"/>
      <c r="CW225" s="22"/>
      <c r="CX225" s="22"/>
      <c r="CY225" s="22"/>
      <c r="CZ225" s="22"/>
      <c r="DA225" s="22"/>
      <c r="DB225" s="22"/>
      <c r="DC225" s="22"/>
      <c r="DD225" s="22"/>
      <c r="DE225" s="22"/>
      <c r="DF225" s="22"/>
      <c r="DG225" s="22"/>
      <c r="DH225" s="22"/>
      <c r="DI225" s="22"/>
      <c r="DJ225" s="22"/>
      <c r="DK225" s="22"/>
      <c r="DL225" s="22"/>
      <c r="DM225" s="22"/>
      <c r="DN225" s="22"/>
      <c r="DO225" s="22"/>
      <c r="DP225" s="22"/>
      <c r="DQ225" s="22"/>
      <c r="DR225" s="22"/>
      <c r="DS225" s="22"/>
      <c r="DT225" s="22"/>
      <c r="DU225" s="22"/>
      <c r="DV225" s="22"/>
      <c r="DW225" s="22"/>
      <c r="DX225" s="22"/>
      <c r="DY225" s="22"/>
      <c r="DZ225" s="22"/>
      <c r="EA225" s="22"/>
      <c r="EB225" s="22"/>
      <c r="EC225" s="22"/>
      <c r="ED225" s="22"/>
      <c r="EE225" s="22"/>
      <c r="EF225" s="22"/>
      <c r="EG225" s="22"/>
      <c r="EH225" s="22"/>
      <c r="EI225" s="22"/>
      <c r="EJ225" s="22"/>
      <c r="EK225" s="22"/>
      <c r="EL225" s="22"/>
      <c r="EM225" s="22"/>
      <c r="EN225" s="22"/>
      <c r="EO225" s="22"/>
      <c r="EP225" s="22"/>
      <c r="EQ225" s="22"/>
      <c r="ER225" s="22"/>
      <c r="ES225" s="22"/>
      <c r="ET225" s="22"/>
      <c r="EU225" s="22"/>
      <c r="EV225" s="22"/>
      <c r="EW225" s="22"/>
      <c r="EX225" s="22"/>
      <c r="EY225" s="22"/>
      <c r="EZ225" s="22"/>
      <c r="FA225" s="22"/>
      <c r="FB225" s="22"/>
      <c r="FC225" s="22"/>
      <c r="FD225" s="22"/>
      <c r="FE225" s="22"/>
      <c r="FF225" s="22"/>
      <c r="FG225" s="22"/>
      <c r="FH225" s="22"/>
      <c r="FI225" s="22"/>
      <c r="FJ225" s="22"/>
      <c r="FK225" s="22"/>
      <c r="FL225" s="22"/>
      <c r="FM225" s="22"/>
      <c r="FN225" s="22"/>
      <c r="FO225" s="22"/>
      <c r="FP225" s="22"/>
      <c r="FQ225" s="22"/>
      <c r="FR225" s="22"/>
      <c r="FS225" s="22"/>
      <c r="FT225" s="22"/>
      <c r="FU225" s="22"/>
      <c r="FV225" s="22"/>
      <c r="FW225" s="22"/>
      <c r="FX225" s="22"/>
      <c r="FY225" s="22"/>
      <c r="FZ225" s="22"/>
      <c r="GA225" s="22"/>
      <c r="GB225" s="22"/>
      <c r="GC225" s="22"/>
      <c r="GD225" s="22"/>
      <c r="GE225" s="22"/>
      <c r="GF225" s="22"/>
      <c r="GG225" s="22"/>
      <c r="GH225" s="22"/>
      <c r="GI225" s="22"/>
      <c r="GJ225" s="22"/>
      <c r="GK225" s="22"/>
      <c r="GL225" s="22"/>
      <c r="GM225" s="22"/>
      <c r="GN225" s="22"/>
      <c r="GO225" s="22"/>
      <c r="GP225" s="22"/>
      <c r="GQ225" s="22"/>
      <c r="GR225" s="22"/>
      <c r="GS225" s="22"/>
      <c r="GT225" s="22"/>
      <c r="GU225" s="22"/>
      <c r="GV225" s="22"/>
      <c r="GW225" s="22"/>
      <c r="GX225" s="22"/>
      <c r="GY225" s="22"/>
      <c r="GZ225" s="22"/>
      <c r="HA225" s="22"/>
      <c r="HB225" s="22"/>
      <c r="HC225" s="22"/>
      <c r="HD225" s="22"/>
      <c r="HE225" s="22"/>
      <c r="HF225" s="22"/>
      <c r="HG225" s="22"/>
      <c r="HH225" s="22"/>
      <c r="HI225" s="22"/>
      <c r="HJ225" s="22"/>
      <c r="HK225" s="22"/>
      <c r="HL225" s="22"/>
      <c r="HM225" s="22"/>
      <c r="HN225" s="22"/>
      <c r="HO225" s="22"/>
      <c r="HP225" s="22"/>
      <c r="HQ225" s="22"/>
      <c r="HR225" s="22"/>
      <c r="HS225" s="22"/>
      <c r="HT225" s="22"/>
      <c r="HU225" s="22"/>
      <c r="HV225" s="22"/>
      <c r="HW225" s="22"/>
      <c r="HX225" s="22"/>
      <c r="HY225" s="22"/>
      <c r="HZ225" s="22"/>
      <c r="IA225" s="22"/>
      <c r="IB225" s="22"/>
      <c r="IC225" s="22"/>
      <c r="ID225" s="22"/>
      <c r="IE225" s="22"/>
    </row>
    <row r="226" spans="1:239" s="22" customFormat="1" ht="18.75" customHeight="1" thickBot="1" x14ac:dyDescent="0.25">
      <c r="A226" s="53"/>
      <c r="B226" s="558" t="s">
        <v>34</v>
      </c>
      <c r="C226" s="559"/>
      <c r="D226" s="560"/>
      <c r="E226" s="560"/>
      <c r="F226" s="345">
        <f>F224+F225</f>
        <v>0</v>
      </c>
      <c r="G226" s="346">
        <f>G224+G225</f>
        <v>0</v>
      </c>
      <c r="H226" s="346"/>
      <c r="I226" s="346"/>
      <c r="J226" s="347"/>
      <c r="K226" s="347">
        <f>K224+K225</f>
        <v>0</v>
      </c>
      <c r="L226" s="348">
        <f>L224+L225</f>
        <v>0</v>
      </c>
      <c r="M226" s="347">
        <f>M224+M225</f>
        <v>0</v>
      </c>
      <c r="N226" s="76"/>
      <c r="O226" s="76"/>
      <c r="P226" s="76"/>
      <c r="Q226" s="77">
        <f>Q224+Q225</f>
        <v>0</v>
      </c>
      <c r="R226" s="77"/>
      <c r="S226" s="77">
        <f>S224+S225</f>
        <v>0</v>
      </c>
      <c r="T226" s="80">
        <f>T224+T225</f>
        <v>0</v>
      </c>
      <c r="U226" s="123"/>
      <c r="V226" s="301"/>
      <c r="W226" s="147">
        <f>IF($AA$2&gt;0,$AA$2*P226,P226)</f>
        <v>0</v>
      </c>
      <c r="X226" s="148">
        <f t="shared" si="38"/>
        <v>0</v>
      </c>
      <c r="Y226" s="149" t="str">
        <f>IF(AND($AA$2&gt;0,W226&gt;0),(IF(($AA$2*P226=W226),"קיצוץ אחיד","נימוק?")),(IF((W226-P226=0),"","נימוק?")))</f>
        <v/>
      </c>
      <c r="Z226" s="211">
        <f>Z224+Z225</f>
        <v>0</v>
      </c>
      <c r="AA226" s="212">
        <f>AA224+AA225</f>
        <v>0</v>
      </c>
      <c r="AB226" s="127"/>
      <c r="AC226" s="295"/>
      <c r="AD226" s="295"/>
      <c r="AF226" s="360"/>
    </row>
    <row r="227" spans="1:239" x14ac:dyDescent="0.2">
      <c r="B227" s="38"/>
      <c r="C227" s="54"/>
      <c r="D227" s="54"/>
      <c r="E227" s="54"/>
      <c r="F227" s="54"/>
      <c r="G227" s="54"/>
      <c r="H227" s="54"/>
      <c r="I227" s="54"/>
      <c r="J227" s="54"/>
      <c r="AF227" s="354"/>
    </row>
    <row r="228" spans="1:239" ht="25.5" customHeight="1" x14ac:dyDescent="0.2">
      <c r="A228" s="55"/>
      <c r="B228" s="550"/>
      <c r="C228" s="550"/>
      <c r="D228" s="104"/>
      <c r="E228" s="93"/>
      <c r="F228" s="93"/>
      <c r="G228" s="93"/>
      <c r="H228" s="93"/>
      <c r="I228" s="93"/>
      <c r="J228" s="93"/>
      <c r="AF228" s="354"/>
    </row>
    <row r="229" spans="1:239" ht="24" customHeight="1" x14ac:dyDescent="0.2">
      <c r="AF229" s="354"/>
    </row>
    <row r="230" spans="1:239" ht="15.75" x14ac:dyDescent="0.25">
      <c r="A230" s="562" t="s">
        <v>40</v>
      </c>
      <c r="B230" s="563"/>
      <c r="C230" s="563"/>
      <c r="D230" s="563"/>
      <c r="E230" s="563"/>
      <c r="F230" s="563"/>
      <c r="G230" s="563"/>
      <c r="AF230" s="354"/>
    </row>
    <row r="231" spans="1:239" s="260" customFormat="1" ht="31.7" customHeight="1" x14ac:dyDescent="0.2">
      <c r="A231" s="262" t="s">
        <v>12</v>
      </c>
      <c r="B231" s="262" t="s">
        <v>13</v>
      </c>
      <c r="C231" s="566" t="s">
        <v>147</v>
      </c>
      <c r="D231" s="567"/>
      <c r="E231" s="564" t="s">
        <v>148</v>
      </c>
      <c r="F231" s="564"/>
      <c r="G231" s="564"/>
      <c r="AC231" s="296"/>
      <c r="AD231" s="296"/>
      <c r="AF231" s="361"/>
    </row>
    <row r="232" spans="1:239" ht="15.75" x14ac:dyDescent="0.25">
      <c r="A232" s="263">
        <v>1</v>
      </c>
      <c r="B232" s="262" t="s">
        <v>14</v>
      </c>
      <c r="C232" s="556">
        <v>30000</v>
      </c>
      <c r="D232" s="557"/>
      <c r="E232" s="561">
        <v>1</v>
      </c>
      <c r="F232" s="561"/>
      <c r="G232" s="561"/>
      <c r="AF232" s="354"/>
    </row>
    <row r="233" spans="1:239" ht="15.75" x14ac:dyDescent="0.25">
      <c r="A233" s="263">
        <v>2</v>
      </c>
      <c r="B233" s="263" t="s">
        <v>145</v>
      </c>
      <c r="C233" s="556">
        <v>30000</v>
      </c>
      <c r="D233" s="557"/>
      <c r="E233" s="561">
        <v>1</v>
      </c>
      <c r="F233" s="561"/>
      <c r="G233" s="561"/>
      <c r="H233" s="452" t="s">
        <v>219</v>
      </c>
      <c r="AF233" s="354"/>
    </row>
    <row r="234" spans="1:239" ht="15.75" x14ac:dyDescent="0.25">
      <c r="A234" s="263">
        <v>3</v>
      </c>
      <c r="B234" s="263" t="s">
        <v>143</v>
      </c>
      <c r="C234" s="556">
        <v>35000</v>
      </c>
      <c r="D234" s="557"/>
      <c r="E234" s="565">
        <v>0.5</v>
      </c>
      <c r="F234" s="565"/>
      <c r="G234" s="565"/>
      <c r="AF234" s="354"/>
    </row>
    <row r="235" spans="1:239" ht="15.75" x14ac:dyDescent="0.25">
      <c r="A235" s="263">
        <v>4</v>
      </c>
      <c r="B235" s="263" t="s">
        <v>146</v>
      </c>
      <c r="C235" s="556">
        <v>35000</v>
      </c>
      <c r="D235" s="557"/>
      <c r="E235" s="565">
        <v>0.75</v>
      </c>
      <c r="F235" s="565"/>
      <c r="G235" s="565"/>
      <c r="AF235" s="354"/>
    </row>
    <row r="236" spans="1:239" ht="15.75" x14ac:dyDescent="0.25">
      <c r="A236" s="263">
        <v>5</v>
      </c>
      <c r="B236" s="262" t="s">
        <v>144</v>
      </c>
      <c r="C236" s="556">
        <v>30000</v>
      </c>
      <c r="D236" s="557"/>
      <c r="E236" s="561">
        <v>1</v>
      </c>
      <c r="F236" s="561"/>
      <c r="G236" s="561"/>
      <c r="AF236" s="354"/>
    </row>
    <row r="237" spans="1:239" ht="15.75" x14ac:dyDescent="0.25">
      <c r="A237" s="263">
        <v>6</v>
      </c>
      <c r="B237" s="262" t="s">
        <v>23</v>
      </c>
      <c r="C237" s="556">
        <v>30000</v>
      </c>
      <c r="D237" s="557"/>
      <c r="E237" s="565">
        <v>0.3333333</v>
      </c>
      <c r="F237" s="565"/>
      <c r="G237" s="565"/>
      <c r="AF237" s="354"/>
    </row>
    <row r="238" spans="1:239" ht="15.75" x14ac:dyDescent="0.25">
      <c r="A238" s="263">
        <v>7</v>
      </c>
      <c r="B238" s="262" t="s">
        <v>28</v>
      </c>
      <c r="C238" s="556">
        <v>6000</v>
      </c>
      <c r="D238" s="557"/>
      <c r="E238" s="561">
        <v>1</v>
      </c>
      <c r="F238" s="561"/>
      <c r="G238" s="561"/>
      <c r="AF238" s="354"/>
    </row>
    <row r="239" spans="1:239" ht="15.75" x14ac:dyDescent="0.25">
      <c r="A239" s="263">
        <v>8</v>
      </c>
      <c r="B239" s="262" t="s">
        <v>173</v>
      </c>
      <c r="C239" s="556">
        <v>42000</v>
      </c>
      <c r="D239" s="557"/>
      <c r="E239" s="561">
        <v>1</v>
      </c>
      <c r="F239" s="561"/>
      <c r="G239" s="561"/>
      <c r="AF239" s="354"/>
    </row>
    <row r="240" spans="1:239" ht="26.25" x14ac:dyDescent="0.25">
      <c r="A240" s="447">
        <v>9</v>
      </c>
      <c r="B240" s="501" t="s">
        <v>259</v>
      </c>
      <c r="C240" s="556">
        <v>35000</v>
      </c>
      <c r="D240" s="557"/>
      <c r="E240" s="561">
        <v>1</v>
      </c>
      <c r="F240" s="561"/>
      <c r="G240" s="561"/>
      <c r="AF240" s="354"/>
    </row>
    <row r="241" spans="1:32" ht="26.25" x14ac:dyDescent="0.25">
      <c r="A241" s="447">
        <v>10</v>
      </c>
      <c r="B241" s="453" t="s">
        <v>262</v>
      </c>
      <c r="C241" s="556">
        <v>10000</v>
      </c>
      <c r="D241" s="557"/>
      <c r="E241" s="561">
        <v>1</v>
      </c>
      <c r="F241" s="561"/>
      <c r="G241" s="561"/>
      <c r="AF241" s="354"/>
    </row>
    <row r="242" spans="1:32" ht="15.75" x14ac:dyDescent="0.25">
      <c r="A242" s="469"/>
      <c r="B242" s="469"/>
      <c r="C242" s="637"/>
      <c r="D242" s="637"/>
      <c r="E242" s="502"/>
      <c r="F242" s="502"/>
      <c r="G242" s="502"/>
      <c r="AF242" s="354"/>
    </row>
    <row r="243" spans="1:32" ht="15.75" hidden="1" x14ac:dyDescent="0.25">
      <c r="A243" s="469"/>
      <c r="B243" s="469"/>
      <c r="C243" s="637"/>
      <c r="D243" s="637"/>
      <c r="E243" s="502"/>
      <c r="F243" s="502"/>
      <c r="G243" s="502"/>
      <c r="AF243" s="354"/>
    </row>
    <row r="244" spans="1:32" ht="15.75" hidden="1" x14ac:dyDescent="0.25">
      <c r="B244" s="265" t="s">
        <v>150</v>
      </c>
      <c r="C244" s="264"/>
      <c r="D244" s="264"/>
      <c r="E244" s="264"/>
      <c r="F244" s="264"/>
      <c r="G244" s="264"/>
      <c r="AF244" s="354"/>
    </row>
    <row r="245" spans="1:32" ht="18.75" hidden="1" customHeight="1" x14ac:dyDescent="0.25">
      <c r="B245" s="469" t="s">
        <v>158</v>
      </c>
      <c r="C245" s="469"/>
      <c r="D245" s="469"/>
      <c r="E245" s="469"/>
      <c r="F245" s="469"/>
      <c r="G245" s="469"/>
      <c r="I245" s="259"/>
      <c r="J245" s="259"/>
      <c r="AF245" s="354"/>
    </row>
    <row r="246" spans="1:32" ht="15.75" hidden="1" customHeight="1" x14ac:dyDescent="0.25">
      <c r="B246" s="469"/>
      <c r="C246" s="469"/>
      <c r="D246" s="469"/>
      <c r="E246" s="469"/>
      <c r="F246" s="469"/>
      <c r="G246" s="469"/>
      <c r="H246" s="469"/>
      <c r="I246" s="259"/>
      <c r="J246" s="259"/>
      <c r="AF246" s="354"/>
    </row>
    <row r="247" spans="1:32" ht="16.5" hidden="1" customHeight="1" x14ac:dyDescent="0.25">
      <c r="B247" s="469" t="s">
        <v>151</v>
      </c>
      <c r="C247" s="469"/>
      <c r="D247" s="469"/>
      <c r="E247" s="469"/>
      <c r="F247" s="469"/>
      <c r="G247" s="469"/>
      <c r="H247" s="469"/>
      <c r="I247" s="261"/>
      <c r="AF247" s="354"/>
    </row>
    <row r="248" spans="1:32" ht="16.5" hidden="1" customHeight="1" x14ac:dyDescent="0.25">
      <c r="B248" s="469"/>
      <c r="C248" s="469"/>
      <c r="D248" s="469"/>
      <c r="E248" s="469"/>
      <c r="F248" s="469"/>
      <c r="G248" s="469"/>
      <c r="H248" s="469"/>
      <c r="AF248" s="354"/>
    </row>
    <row r="249" spans="1:32" ht="12.75" hidden="1" customHeight="1" x14ac:dyDescent="0.25">
      <c r="H249" s="469"/>
      <c r="AF249" s="354"/>
    </row>
    <row r="250" spans="1:32" hidden="1" x14ac:dyDescent="0.2">
      <c r="AF250" s="354"/>
    </row>
    <row r="251" spans="1:32" hidden="1" x14ac:dyDescent="0.2">
      <c r="AF251" s="354"/>
    </row>
    <row r="252" spans="1:32" hidden="1" x14ac:dyDescent="0.2">
      <c r="AF252" s="354"/>
    </row>
    <row r="253" spans="1:32" hidden="1" x14ac:dyDescent="0.2">
      <c r="A253" s="460">
        <f>+'ראשי-פרטים כלליים וריכוז הוצאות'!C117</f>
        <v>1</v>
      </c>
      <c r="AF253" s="354"/>
    </row>
    <row r="254" spans="1:32" hidden="1" x14ac:dyDescent="0.2">
      <c r="A254">
        <f>VLOOKUP(+'ראשי-פרטים כלליים וריכוז הוצאות'!C117,'ראשי-פרטים כלליים וריכוז הוצאות'!$F$116:$P$130,3,0)</f>
        <v>1</v>
      </c>
      <c r="B254" s="15">
        <f>+'ראשי-פרטים כלליים וריכוז הוצאות'!C117</f>
        <v>1</v>
      </c>
      <c r="C254" s="15">
        <f>VLOOKUP(B254,'ראשי-פרטים כלליים וריכוז הוצאות'!$F$117:$O$130,10,0)*0.2</f>
        <v>0.2</v>
      </c>
      <c r="AF254" s="354"/>
    </row>
    <row r="255" spans="1:32" hidden="1" x14ac:dyDescent="0.2">
      <c r="B255" s="15">
        <f>+'ראשי-פרטים כלליים וריכוז הוצאות'!F12</f>
        <v>0</v>
      </c>
      <c r="C255" s="350">
        <f>IF(OR(B254=2,B254=4),24,IF(B254=3,36,12))</f>
        <v>12</v>
      </c>
      <c r="AF255" s="354"/>
    </row>
    <row r="256" spans="1:32" hidden="1" x14ac:dyDescent="0.2">
      <c r="AF256" s="354"/>
    </row>
    <row r="257" spans="1:32" hidden="1" x14ac:dyDescent="0.2">
      <c r="AF257" s="354"/>
    </row>
    <row r="258" spans="1:32" hidden="1" x14ac:dyDescent="0.2">
      <c r="AF258" s="354"/>
    </row>
    <row r="259" spans="1:32" hidden="1" x14ac:dyDescent="0.2">
      <c r="A259" s="467">
        <f>VLOOKUP(+'ראשי-פרטים כלליים וריכוז הוצאות'!C117,'ראשי-פרטים כלליים וריכוז הוצאות'!$F$116:$L$127,2,0)</f>
        <v>1</v>
      </c>
      <c r="AF259" s="354"/>
    </row>
    <row r="260" spans="1:32" hidden="1" x14ac:dyDescent="0.2">
      <c r="AF260" s="354"/>
    </row>
    <row r="261" spans="1:32" hidden="1" x14ac:dyDescent="0.2">
      <c r="AF261" s="354"/>
    </row>
    <row r="262" spans="1:32" hidden="1" x14ac:dyDescent="0.2">
      <c r="C262" s="351"/>
      <c r="AF262" s="354"/>
    </row>
    <row r="263" spans="1:32" hidden="1" x14ac:dyDescent="0.2">
      <c r="AF263" s="354"/>
    </row>
    <row r="264" spans="1:32" hidden="1" x14ac:dyDescent="0.2">
      <c r="AF264" s="354"/>
    </row>
    <row r="265" spans="1:32" hidden="1" x14ac:dyDescent="0.2">
      <c r="AF265" s="354"/>
    </row>
    <row r="266" spans="1:32" x14ac:dyDescent="0.2">
      <c r="AF266" s="354"/>
    </row>
    <row r="267" spans="1:32" x14ac:dyDescent="0.2">
      <c r="AF267" s="354"/>
    </row>
    <row r="268" spans="1:32" x14ac:dyDescent="0.2">
      <c r="AF268" s="354"/>
    </row>
    <row r="269" spans="1:32" x14ac:dyDescent="0.2">
      <c r="AF269" s="354"/>
    </row>
    <row r="270" spans="1:32" x14ac:dyDescent="0.2">
      <c r="AF270" s="354"/>
    </row>
    <row r="271" spans="1:32" x14ac:dyDescent="0.2">
      <c r="AF271" s="354"/>
    </row>
    <row r="272" spans="1:32" x14ac:dyDescent="0.2">
      <c r="AF272" s="354"/>
    </row>
    <row r="273" spans="32:32" x14ac:dyDescent="0.2">
      <c r="AF273" s="354"/>
    </row>
    <row r="274" spans="32:32" x14ac:dyDescent="0.2">
      <c r="AF274" s="354"/>
    </row>
    <row r="275" spans="32:32" x14ac:dyDescent="0.2">
      <c r="AF275" s="354"/>
    </row>
    <row r="276" spans="32:32" x14ac:dyDescent="0.2">
      <c r="AF276" s="354"/>
    </row>
    <row r="277" spans="32:32" x14ac:dyDescent="0.2">
      <c r="AF277" s="354"/>
    </row>
    <row r="278" spans="32:32" x14ac:dyDescent="0.2">
      <c r="AF278" s="354"/>
    </row>
    <row r="279" spans="32:32" x14ac:dyDescent="0.2">
      <c r="AF279" s="354"/>
    </row>
    <row r="280" spans="32:32" x14ac:dyDescent="0.2">
      <c r="AF280" s="354"/>
    </row>
    <row r="281" spans="32:32" x14ac:dyDescent="0.2">
      <c r="AF281" s="354"/>
    </row>
    <row r="282" spans="32:32" x14ac:dyDescent="0.2">
      <c r="AF282" s="354"/>
    </row>
    <row r="283" spans="32:32" x14ac:dyDescent="0.2">
      <c r="AF283" s="354"/>
    </row>
    <row r="284" spans="32:32" x14ac:dyDescent="0.2">
      <c r="AF284" s="354"/>
    </row>
    <row r="285" spans="32:32" x14ac:dyDescent="0.2">
      <c r="AF285" s="354"/>
    </row>
    <row r="286" spans="32:32" x14ac:dyDescent="0.2">
      <c r="AF286" s="354"/>
    </row>
    <row r="287" spans="32:32" x14ac:dyDescent="0.2">
      <c r="AF287" s="354"/>
    </row>
    <row r="288" spans="32:32" x14ac:dyDescent="0.2">
      <c r="AF288" s="354"/>
    </row>
    <row r="289" spans="32:32" x14ac:dyDescent="0.2">
      <c r="AF289" s="354"/>
    </row>
    <row r="290" spans="32:32" x14ac:dyDescent="0.2">
      <c r="AF290" s="354"/>
    </row>
    <row r="291" spans="32:32" x14ac:dyDescent="0.2">
      <c r="AF291" s="354"/>
    </row>
    <row r="292" spans="32:32" x14ac:dyDescent="0.2">
      <c r="AF292" s="354"/>
    </row>
    <row r="293" spans="32:32" x14ac:dyDescent="0.2">
      <c r="AF293" s="354"/>
    </row>
    <row r="294" spans="32:32" x14ac:dyDescent="0.2">
      <c r="AF294" s="354"/>
    </row>
    <row r="295" spans="32:32" x14ac:dyDescent="0.2">
      <c r="AF295" s="354"/>
    </row>
    <row r="296" spans="32:32" x14ac:dyDescent="0.2">
      <c r="AF296" s="354"/>
    </row>
    <row r="297" spans="32:32" x14ac:dyDescent="0.2">
      <c r="AF297" s="354"/>
    </row>
    <row r="298" spans="32:32" x14ac:dyDescent="0.2">
      <c r="AF298" s="354"/>
    </row>
    <row r="299" spans="32:32" x14ac:dyDescent="0.2">
      <c r="AF299" s="354"/>
    </row>
    <row r="300" spans="32:32" x14ac:dyDescent="0.2">
      <c r="AF300" s="354"/>
    </row>
  </sheetData>
  <sheetProtection password="CAD0" sheet="1" objects="1" scenarios="1"/>
  <dataConsolidate/>
  <customSheetViews>
    <customSheetView guid="{0C0A7354-1E68-4AF0-8238-6CB67405E9AA}" showPageBreaks="1" hiddenColumns="1" showRuler="0">
      <selection activeCell="B10" sqref="B10"/>
      <pageMargins left="0.75" right="0.75" top="1" bottom="1" header="0.5" footer="0.5"/>
      <pageSetup paperSize="9" orientation="landscape" r:id="rId1"/>
      <headerFooter alignWithMargins="0"/>
    </customSheetView>
  </customSheetViews>
  <mergeCells count="40">
    <mergeCell ref="E239:G239"/>
    <mergeCell ref="A1:C1"/>
    <mergeCell ref="AB1:AB3"/>
    <mergeCell ref="K1:L1"/>
    <mergeCell ref="K2:M2"/>
    <mergeCell ref="W1:AA1"/>
    <mergeCell ref="W2:Z2"/>
    <mergeCell ref="U1:U3"/>
    <mergeCell ref="N2:S2"/>
    <mergeCell ref="N1:T1"/>
    <mergeCell ref="F2:J2"/>
    <mergeCell ref="B2:E2"/>
    <mergeCell ref="H1:I1"/>
    <mergeCell ref="F1:G1"/>
    <mergeCell ref="C241:D241"/>
    <mergeCell ref="E241:G241"/>
    <mergeCell ref="A230:G230"/>
    <mergeCell ref="E231:G231"/>
    <mergeCell ref="E232:G232"/>
    <mergeCell ref="E233:G233"/>
    <mergeCell ref="E234:G234"/>
    <mergeCell ref="E235:G235"/>
    <mergeCell ref="E236:G236"/>
    <mergeCell ref="E237:G237"/>
    <mergeCell ref="C240:D240"/>
    <mergeCell ref="E240:G240"/>
    <mergeCell ref="E238:G238"/>
    <mergeCell ref="C231:D231"/>
    <mergeCell ref="C232:D232"/>
    <mergeCell ref="C239:D239"/>
    <mergeCell ref="C235:D235"/>
    <mergeCell ref="C236:D236"/>
    <mergeCell ref="C237:D237"/>
    <mergeCell ref="C238:D238"/>
    <mergeCell ref="B226:E226"/>
    <mergeCell ref="B228:C228"/>
    <mergeCell ref="B224:E224"/>
    <mergeCell ref="B225:C225"/>
    <mergeCell ref="C233:D233"/>
    <mergeCell ref="C234:D234"/>
  </mergeCells>
  <phoneticPr fontId="6" type="noConversion"/>
  <conditionalFormatting sqref="X4:X226 Q4:Q223">
    <cfRule type="cellIs" dxfId="75" priority="5" stopIfTrue="1" operator="notEqual">
      <formula>$J4</formula>
    </cfRule>
  </conditionalFormatting>
  <conditionalFormatting sqref="W4:W226">
    <cfRule type="cellIs" dxfId="74" priority="6" stopIfTrue="1" operator="between">
      <formula>0.001</formula>
      <formula>0.09999</formula>
    </cfRule>
    <cfRule type="cellIs" dxfId="73" priority="7" stopIfTrue="1" operator="notEqual">
      <formula>$P4</formula>
    </cfRule>
  </conditionalFormatting>
  <conditionalFormatting sqref="I4:I223">
    <cfRule type="cellIs" dxfId="72" priority="8" stopIfTrue="1" operator="between">
      <formula>0.001</formula>
      <formula>0.09999</formula>
    </cfRule>
    <cfRule type="expression" dxfId="71" priority="9" stopIfTrue="1">
      <formula>OR(AND($E4=3,$I4&gt;0.500001),AND($E4=4,$I4&gt;0.7500001))</formula>
    </cfRule>
  </conditionalFormatting>
  <conditionalFormatting sqref="H4:H223">
    <cfRule type="cellIs" dxfId="70" priority="10" stopIfTrue="1" operator="between">
      <formula>0.001</formula>
      <formula>0.09999</formula>
    </cfRule>
    <cfRule type="expression" dxfId="69" priority="11" stopIfTrue="1">
      <formula>AND($E4=6,$H4&gt;0.33333)</formula>
    </cfRule>
  </conditionalFormatting>
  <conditionalFormatting sqref="P4:P223">
    <cfRule type="cellIs" dxfId="68" priority="12" stopIfTrue="1" operator="between">
      <formula>0.001</formula>
      <formula>0.09999</formula>
    </cfRule>
    <cfRule type="cellIs" dxfId="67" priority="13" stopIfTrue="1" operator="notEqual">
      <formula>$I4</formula>
    </cfRule>
  </conditionalFormatting>
  <conditionalFormatting sqref="O4:O223">
    <cfRule type="cellIs" dxfId="66" priority="14" stopIfTrue="1" operator="between">
      <formula>0.001</formula>
      <formula>0.09999</formula>
    </cfRule>
    <cfRule type="cellIs" dxfId="65" priority="15" stopIfTrue="1" operator="lessThan">
      <formula>H4</formula>
    </cfRule>
  </conditionalFormatting>
  <conditionalFormatting sqref="J4:J223">
    <cfRule type="cellIs" dxfId="64" priority="16" stopIfTrue="1" operator="greaterThan">
      <formula>12</formula>
    </cfRule>
  </conditionalFormatting>
  <conditionalFormatting sqref="Y224:Y226">
    <cfRule type="cellIs" dxfId="63" priority="17" stopIfTrue="1" operator="equal">
      <formula>"נימוק?"</formula>
    </cfRule>
  </conditionalFormatting>
  <conditionalFormatting sqref="Y4:Y223 R4:R223">
    <cfRule type="cellIs" dxfId="62" priority="18" stopIfTrue="1" operator="equal">
      <formula>"נא להזין נימוק"</formula>
    </cfRule>
    <cfRule type="cellIs" dxfId="61" priority="19" stopIfTrue="1" operator="equal">
      <formula>"עצור: אחוז תעסוקה נמוך מ-10%"</formula>
    </cfRule>
  </conditionalFormatting>
  <conditionalFormatting sqref="A1:XFD1048576">
    <cfRule type="expression" dxfId="60" priority="45">
      <formula>$A$259=0</formula>
    </cfRule>
  </conditionalFormatting>
  <dataValidations xWindow="488" yWindow="489" count="8">
    <dataValidation type="decimal" allowBlank="1" showInputMessage="1" showErrorMessage="1" errorTitle="תא מחושב בנוסחה" error="אין להקליד נתונים בתא זה._x000a__x000a_נא הקישו על ביטול." promptTitle="תא מחושב בנוסחה" prompt="אין להקליד נתונים בעמודה זו" sqref="T4:T223">
      <formula1>H4*P4*Q4/12</formula1>
      <formula2>H4*P4*Q4/12</formula2>
    </dataValidation>
    <dataValidation type="decimal" operator="lessThan" allowBlank="1" showInputMessage="1" showErrorMessage="1" errorTitle="עפ&quot;י נוהל הכספים 200-03:" error="אחוז התעסוקה במו&quot;פ מוגבל ל-100%._x000a_כמו כן:_x000a_מנכ&quot;ל מוגבל ל-50%  (קוד שכר 3)_x000a_מנכ&quot;ל בחברה שכל עיסוקה מו&quot;פ מוגבל ל-75% (קוד שכר 4)" sqref="I4:I223">
      <formula1>IF(E4=3,0.500001,IF(E4=4,0.7500001,1.00001))</formula1>
    </dataValidation>
    <dataValidation type="decimal" operator="lessThan" allowBlank="1" showInputMessage="1" showErrorMessage="1" error="חלקיות המשרה ואחוז העסקה מוגבלים ל-100% בלבד!_x000a_איש סגל אקדמי במשרה מלאה באקדמיה, תוכר משרתו במו&quot;פ עד לתקרה של 33% משרה" sqref="H4:H223">
      <formula1>IF(E4=6,0.33333333,1.0000001)</formula1>
    </dataValidation>
    <dataValidation type="decimal" allowBlank="1" showInputMessage="1" showErrorMessage="1" errorTitle="עמודה זו לא לשינוי" error="חלקיות המשרה נקבעת ע&quot;י החברה בהתאם לחוזה העבודה של העובד ולכן אין לשנות תא זה._x000a__x000a_לאנשי סגל אקדמי בקוד שכר 6 מבוצעת התאמה אוטומטית לשליש משרה._x000a__x000a_נא להקיש על ביטול ע&quot;מ להשיב המצ&quot;ב לקדמותו_x000a_" promptTitle="לא לשינוי" prompt="עמודה זו קבועה ואין לשנותה" sqref="O4:O223">
      <formula1>0.000001</formula1>
      <formula2>H4</formula2>
    </dataValidation>
    <dataValidation type="decimal" allowBlank="1" showInputMessage="1" showErrorMessage="1" sqref="F4:G223">
      <formula1>0</formula1>
      <formula2>999999999</formula2>
    </dataValidation>
    <dataValidation type="whole" errorStyle="warning" operator="lessThanOrEqual" allowBlank="1" showInputMessage="1" showErrorMessage="1" error="נא ודאו שנית את מס' חודשי העבודה המבוקשים לעובד. כמו  כן יש להגיש מס' חודשי עבודה שלמים." sqref="J4:J223">
      <formula1>$C$255</formula1>
    </dataValidation>
    <dataValidation type="list" allowBlank="1" showErrorMessage="1" error="נא לבחור קוד שכר מתאים כמפורט בטבלה שבתחתית גליון זה" promptTitle="נא להזין קוד שכר רלבנטי לעובד:" prompt="נא לבחור קוד מתאים:_x000a__x000a_קוד 1= רגיל_x000a_קוד 2=  עובד חב' כ&quot;א/ חליף כ&quot;א_x000a_קוד 3= מנכ&quot;ל_x000a_קוד 4= מנכ&quot;ל בחברה שכל עיסוקה מו&quot;פ._x000a_קוד 5= איש סגל אקדמי בשנת שבתון_x000a_קוד 6= איש סגל אקדמי_x000a_קוד 7= סטודנט בעל מלגה" sqref="E4:E53">
      <formula1>$A$232:$A$241</formula1>
    </dataValidation>
    <dataValidation type="list" allowBlank="1" showErrorMessage="1" error="נא לבחור קוד שכר מתאים כמפורט בטבלה שבתחתית גליון זה" promptTitle="נא להזין קוד שכר רלבנטי לעובד:" prompt="נא לבחור קוד מתאים:_x000a__x000a_קוד 1= רגיל_x000a_קוד 2=  עובד חב' כ&quot;א/ חליף כ&quot;א_x000a_קוד 3= מנכ&quot;ל_x000a_קוד 4= מנכ&quot;ל בחברה שכל עיסוקה מו&quot;פ._x000a_קוד 5= איש סגל אקדמי בשנת שבתון_x000a_קוד 6= איש סגל אקדמי_x000a_קוד 7= סטודנט בעל מלגה" sqref="E54:E223">
      <formula1>IF($B$254&lt;&gt;6,$A$232:$A$241,#REF!)</formula1>
    </dataValidation>
  </dataValidations>
  <hyperlinks>
    <hyperlink ref="A230:C230" location="'כח אדם - שכר'!A4" display="טבלת קודי שכר (הקשה על תא זה תחזיר אותך לראשית הטבלה)"/>
    <hyperlink ref="E3" location="'כח אדם - שכר'!A230:A239" display="קוד שכר"/>
    <hyperlink ref="A230:G230" location="'כח אדם - שכר'!A4" tooltip="הקשה על התא תחזיר אתכם לראשית הגליון" display="טבלת קודי שכר (הקשה על תא זה תחזיר אותך לראשית הטבלה)"/>
  </hyperlinks>
  <printOptions horizontalCentered="1" verticalCentered="1"/>
  <pageMargins left="0.35" right="0.41" top="0.39370078740157483" bottom="0.43307086614173229" header="0.31496062992125984" footer="0.19685039370078741"/>
  <pageSetup paperSize="9" scale="36" fitToHeight="14" orientation="landscape" r:id="rId2"/>
  <headerFooter alignWithMargins="0">
    <oddFooter>עמוד &amp;P מתוך &amp;N</oddFooter>
  </headerFooter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3">
    <tabColor indexed="42"/>
    <pageSetUpPr fitToPage="1"/>
  </sheetPr>
  <dimension ref="A1:U69"/>
  <sheetViews>
    <sheetView showGridLines="0" rightToLeft="1" zoomScaleNormal="100" workbookViewId="0">
      <pane xSplit="1" ySplit="2" topLeftCell="B6" activePane="bottomRight" state="frozen"/>
      <selection pane="topRight" activeCell="B1" sqref="B1"/>
      <selection pane="bottomLeft" activeCell="A3" sqref="A3"/>
      <selection pane="bottomRight" activeCell="M21" sqref="M21"/>
    </sheetView>
  </sheetViews>
  <sheetFormatPr defaultColWidth="9.140625" defaultRowHeight="12.75" outlineLevelCol="1" x14ac:dyDescent="0.2"/>
  <cols>
    <col min="1" max="1" width="5.85546875" style="15" bestFit="1" customWidth="1"/>
    <col min="2" max="2" width="25" style="15" customWidth="1"/>
    <col min="3" max="3" width="24.7109375" style="15" customWidth="1"/>
    <col min="4" max="4" width="13" style="15" customWidth="1"/>
    <col min="5" max="5" width="7.28515625" style="15" customWidth="1"/>
    <col min="6" max="6" width="14.85546875" style="15" customWidth="1"/>
    <col min="7" max="7" width="16" style="15" customWidth="1"/>
    <col min="8" max="8" width="15.28515625" style="15" hidden="1" customWidth="1" outlineLevel="1"/>
    <col min="9" max="9" width="12.42578125" style="15" hidden="1" customWidth="1" outlineLevel="1"/>
    <col min="10" max="10" width="13.42578125" style="15" hidden="1" customWidth="1" outlineLevel="1"/>
    <col min="11" max="11" width="23.42578125" style="15" hidden="1" customWidth="1" outlineLevel="1"/>
    <col min="12" max="12" width="13.5703125" style="15" hidden="1" customWidth="1" outlineLevel="1"/>
    <col min="13" max="13" width="23.85546875" style="15" hidden="1" customWidth="1" outlineLevel="1"/>
    <col min="14" max="14" width="7.5703125" style="15" customWidth="1" collapsed="1"/>
    <col min="15" max="15" width="15.28515625" style="15" hidden="1" customWidth="1" outlineLevel="1"/>
    <col min="16" max="16" width="12.42578125" style="15" hidden="1" customWidth="1" outlineLevel="1"/>
    <col min="17" max="17" width="13.42578125" style="15" hidden="1" customWidth="1" outlineLevel="1"/>
    <col min="18" max="18" width="23.42578125" style="15" hidden="1" customWidth="1" outlineLevel="1"/>
    <col min="19" max="19" width="13.7109375" style="15" hidden="1" customWidth="1" outlineLevel="1"/>
    <col min="20" max="20" width="23.85546875" style="15" hidden="1" customWidth="1" outlineLevel="1"/>
    <col min="21" max="21" width="8.42578125" style="15" customWidth="1" collapsed="1"/>
    <col min="22" max="16384" width="9.140625" style="15"/>
  </cols>
  <sheetData>
    <row r="1" spans="1:21" s="34" customFormat="1" ht="45" customHeight="1" thickBot="1" x14ac:dyDescent="0.3">
      <c r="A1" s="598" t="s">
        <v>31</v>
      </c>
      <c r="B1" s="599"/>
      <c r="C1" s="599"/>
      <c r="D1" s="69"/>
      <c r="E1" s="33" t="s">
        <v>32</v>
      </c>
      <c r="F1" s="102">
        <f>'ראשי-פרטים כלליים וריכוז הוצאות'!F5</f>
        <v>0</v>
      </c>
      <c r="G1" s="130"/>
      <c r="H1" s="602" t="s">
        <v>137</v>
      </c>
      <c r="I1" s="603"/>
      <c r="J1" s="604"/>
      <c r="K1" s="595" t="s">
        <v>142</v>
      </c>
      <c r="L1" s="596"/>
      <c r="M1" s="267"/>
      <c r="N1" s="120" t="s">
        <v>72</v>
      </c>
      <c r="O1" s="605" t="s">
        <v>245</v>
      </c>
      <c r="P1" s="606"/>
      <c r="Q1" s="607"/>
      <c r="R1" s="600" t="s">
        <v>104</v>
      </c>
      <c r="S1" s="601"/>
      <c r="T1" s="118"/>
      <c r="U1" s="124" t="s">
        <v>221</v>
      </c>
    </row>
    <row r="2" spans="1:21" ht="25.5" x14ac:dyDescent="0.2">
      <c r="A2" s="35" t="s">
        <v>37</v>
      </c>
      <c r="B2" s="35" t="s">
        <v>54</v>
      </c>
      <c r="C2" s="35" t="s">
        <v>55</v>
      </c>
      <c r="D2" s="35" t="s">
        <v>61</v>
      </c>
      <c r="E2" s="35" t="s">
        <v>62</v>
      </c>
      <c r="F2" s="35" t="s">
        <v>208</v>
      </c>
      <c r="G2" s="140" t="s">
        <v>63</v>
      </c>
      <c r="H2" s="156" t="s">
        <v>70</v>
      </c>
      <c r="I2" s="68" t="s">
        <v>62</v>
      </c>
      <c r="J2" s="68" t="s">
        <v>73</v>
      </c>
      <c r="K2" s="68" t="s">
        <v>71</v>
      </c>
      <c r="L2" s="68" t="s">
        <v>152</v>
      </c>
      <c r="M2" s="116" t="s">
        <v>24</v>
      </c>
      <c r="N2" s="121"/>
      <c r="O2" s="119" t="s">
        <v>70</v>
      </c>
      <c r="P2" s="110" t="s">
        <v>62</v>
      </c>
      <c r="Q2" s="110" t="s">
        <v>73</v>
      </c>
      <c r="R2" s="110" t="s">
        <v>102</v>
      </c>
      <c r="S2" s="110" t="s">
        <v>98</v>
      </c>
      <c r="T2" s="117" t="s">
        <v>24</v>
      </c>
      <c r="U2" s="125"/>
    </row>
    <row r="3" spans="1:21" s="22" customFormat="1" ht="26.45" customHeight="1" x14ac:dyDescent="0.2">
      <c r="A3" s="312">
        <v>1</v>
      </c>
      <c r="B3" s="306"/>
      <c r="C3" s="307"/>
      <c r="D3" s="308"/>
      <c r="E3" s="308"/>
      <c r="F3" s="309"/>
      <c r="G3" s="310">
        <f>E3*D3</f>
        <v>0</v>
      </c>
      <c r="H3" s="157">
        <f t="shared" ref="H3:H42" si="0">D3</f>
        <v>0</v>
      </c>
      <c r="I3" s="64">
        <f t="shared" ref="I3:I42" si="1">E3</f>
        <v>0</v>
      </c>
      <c r="J3" s="279">
        <f t="shared" ref="J3:J42" si="2">IF($M$1&gt;0,1-$M$1,100%)</f>
        <v>1</v>
      </c>
      <c r="K3" s="91">
        <f>H3*I3*J3</f>
        <v>0</v>
      </c>
      <c r="L3" s="92"/>
      <c r="M3" s="106" t="str">
        <f t="shared" ref="M3:M42" si="3">IF(L3&gt;0,(VLOOKUP(L3,$L$50:$M$55,2,0)),"")</f>
        <v/>
      </c>
      <c r="N3" s="122"/>
      <c r="O3" s="105">
        <f>H3</f>
        <v>0</v>
      </c>
      <c r="P3" s="63">
        <f>I3</f>
        <v>0</v>
      </c>
      <c r="Q3" s="90">
        <f t="shared" ref="Q3:Q42" si="4">IF($T$1&gt;0,((1-$T$1)*(1-$M$1)),J3)</f>
        <v>1</v>
      </c>
      <c r="R3" s="111">
        <f>O3*P3*Q3</f>
        <v>0</v>
      </c>
      <c r="S3" s="92"/>
      <c r="T3" s="106" t="str">
        <f t="shared" ref="T3:T42" si="5">IF(S3&gt;0,(VLOOKUP(S3,$L$50:$M$55,2,0)),"")</f>
        <v/>
      </c>
      <c r="U3" s="126"/>
    </row>
    <row r="4" spans="1:21" s="22" customFormat="1" ht="26.45" customHeight="1" x14ac:dyDescent="0.2">
      <c r="A4" s="312">
        <v>2</v>
      </c>
      <c r="B4" s="306"/>
      <c r="C4" s="308"/>
      <c r="D4" s="308"/>
      <c r="E4" s="308"/>
      <c r="F4" s="309"/>
      <c r="G4" s="310">
        <f t="shared" ref="G4:G42" si="6">E4*D4</f>
        <v>0</v>
      </c>
      <c r="H4" s="157">
        <f t="shared" si="0"/>
        <v>0</v>
      </c>
      <c r="I4" s="64">
        <f t="shared" si="1"/>
        <v>0</v>
      </c>
      <c r="J4" s="279">
        <f t="shared" si="2"/>
        <v>1</v>
      </c>
      <c r="K4" s="91">
        <f t="shared" ref="K4:K42" si="7">H4*I4*J4</f>
        <v>0</v>
      </c>
      <c r="L4" s="92"/>
      <c r="M4" s="106" t="str">
        <f t="shared" si="3"/>
        <v/>
      </c>
      <c r="N4" s="122"/>
      <c r="O4" s="105">
        <f t="shared" ref="O4:O42" si="8">H4</f>
        <v>0</v>
      </c>
      <c r="P4" s="63">
        <f t="shared" ref="P4:P42" si="9">I4</f>
        <v>0</v>
      </c>
      <c r="Q4" s="90">
        <f t="shared" si="4"/>
        <v>1</v>
      </c>
      <c r="R4" s="111">
        <f t="shared" ref="R4:R42" si="10">O4*P4*Q4</f>
        <v>0</v>
      </c>
      <c r="S4" s="92"/>
      <c r="T4" s="106" t="str">
        <f t="shared" si="5"/>
        <v/>
      </c>
      <c r="U4" s="126"/>
    </row>
    <row r="5" spans="1:21" s="22" customFormat="1" ht="26.45" customHeight="1" x14ac:dyDescent="0.2">
      <c r="A5" s="312">
        <v>3</v>
      </c>
      <c r="B5" s="306"/>
      <c r="C5" s="308"/>
      <c r="D5" s="308"/>
      <c r="E5" s="308"/>
      <c r="F5" s="309"/>
      <c r="G5" s="310">
        <f t="shared" si="6"/>
        <v>0</v>
      </c>
      <c r="H5" s="157">
        <f t="shared" si="0"/>
        <v>0</v>
      </c>
      <c r="I5" s="64">
        <f t="shared" si="1"/>
        <v>0</v>
      </c>
      <c r="J5" s="279">
        <f t="shared" si="2"/>
        <v>1</v>
      </c>
      <c r="K5" s="91">
        <f t="shared" si="7"/>
        <v>0</v>
      </c>
      <c r="L5" s="92"/>
      <c r="M5" s="106" t="str">
        <f t="shared" si="3"/>
        <v/>
      </c>
      <c r="N5" s="122"/>
      <c r="O5" s="105">
        <f t="shared" si="8"/>
        <v>0</v>
      </c>
      <c r="P5" s="63">
        <f t="shared" si="9"/>
        <v>0</v>
      </c>
      <c r="Q5" s="90">
        <f t="shared" si="4"/>
        <v>1</v>
      </c>
      <c r="R5" s="111">
        <f t="shared" si="10"/>
        <v>0</v>
      </c>
      <c r="S5" s="92"/>
      <c r="T5" s="106" t="str">
        <f t="shared" si="5"/>
        <v/>
      </c>
      <c r="U5" s="126"/>
    </row>
    <row r="6" spans="1:21" s="22" customFormat="1" ht="26.45" customHeight="1" x14ac:dyDescent="0.2">
      <c r="A6" s="312">
        <v>4</v>
      </c>
      <c r="B6" s="306"/>
      <c r="C6" s="308"/>
      <c r="D6" s="308"/>
      <c r="E6" s="308"/>
      <c r="F6" s="309"/>
      <c r="G6" s="310">
        <f t="shared" si="6"/>
        <v>0</v>
      </c>
      <c r="H6" s="157">
        <f t="shared" si="0"/>
        <v>0</v>
      </c>
      <c r="I6" s="64">
        <f t="shared" si="1"/>
        <v>0</v>
      </c>
      <c r="J6" s="279">
        <f t="shared" si="2"/>
        <v>1</v>
      </c>
      <c r="K6" s="91">
        <f t="shared" si="7"/>
        <v>0</v>
      </c>
      <c r="L6" s="92"/>
      <c r="M6" s="106" t="str">
        <f t="shared" si="3"/>
        <v/>
      </c>
      <c r="N6" s="122"/>
      <c r="O6" s="105">
        <f t="shared" si="8"/>
        <v>0</v>
      </c>
      <c r="P6" s="63">
        <f t="shared" si="9"/>
        <v>0</v>
      </c>
      <c r="Q6" s="90">
        <f t="shared" si="4"/>
        <v>1</v>
      </c>
      <c r="R6" s="111">
        <f t="shared" si="10"/>
        <v>0</v>
      </c>
      <c r="S6" s="92"/>
      <c r="T6" s="106" t="str">
        <f t="shared" si="5"/>
        <v/>
      </c>
      <c r="U6" s="126"/>
    </row>
    <row r="7" spans="1:21" s="22" customFormat="1" ht="26.45" customHeight="1" x14ac:dyDescent="0.2">
      <c r="A7" s="312">
        <v>5</v>
      </c>
      <c r="B7" s="306"/>
      <c r="C7" s="308"/>
      <c r="D7" s="308"/>
      <c r="E7" s="308"/>
      <c r="F7" s="309"/>
      <c r="G7" s="310">
        <f t="shared" si="6"/>
        <v>0</v>
      </c>
      <c r="H7" s="157">
        <f t="shared" si="0"/>
        <v>0</v>
      </c>
      <c r="I7" s="64">
        <f t="shared" si="1"/>
        <v>0</v>
      </c>
      <c r="J7" s="279">
        <f t="shared" si="2"/>
        <v>1</v>
      </c>
      <c r="K7" s="91">
        <f t="shared" si="7"/>
        <v>0</v>
      </c>
      <c r="L7" s="92"/>
      <c r="M7" s="106" t="str">
        <f t="shared" si="3"/>
        <v/>
      </c>
      <c r="N7" s="122"/>
      <c r="O7" s="105">
        <f t="shared" si="8"/>
        <v>0</v>
      </c>
      <c r="P7" s="63">
        <f t="shared" si="9"/>
        <v>0</v>
      </c>
      <c r="Q7" s="90">
        <f t="shared" si="4"/>
        <v>1</v>
      </c>
      <c r="R7" s="111">
        <f t="shared" si="10"/>
        <v>0</v>
      </c>
      <c r="S7" s="92"/>
      <c r="T7" s="106" t="str">
        <f t="shared" si="5"/>
        <v/>
      </c>
      <c r="U7" s="126"/>
    </row>
    <row r="8" spans="1:21" s="22" customFormat="1" ht="26.45" customHeight="1" x14ac:dyDescent="0.2">
      <c r="A8" s="312">
        <v>6</v>
      </c>
      <c r="B8" s="306"/>
      <c r="C8" s="308"/>
      <c r="D8" s="308"/>
      <c r="E8" s="308"/>
      <c r="F8" s="309"/>
      <c r="G8" s="310">
        <f t="shared" si="6"/>
        <v>0</v>
      </c>
      <c r="H8" s="157">
        <f t="shared" si="0"/>
        <v>0</v>
      </c>
      <c r="I8" s="64">
        <f t="shared" si="1"/>
        <v>0</v>
      </c>
      <c r="J8" s="279">
        <f t="shared" si="2"/>
        <v>1</v>
      </c>
      <c r="K8" s="91">
        <f t="shared" si="7"/>
        <v>0</v>
      </c>
      <c r="L8" s="92"/>
      <c r="M8" s="106" t="str">
        <f t="shared" si="3"/>
        <v/>
      </c>
      <c r="N8" s="122"/>
      <c r="O8" s="105">
        <f t="shared" si="8"/>
        <v>0</v>
      </c>
      <c r="P8" s="63">
        <f t="shared" si="9"/>
        <v>0</v>
      </c>
      <c r="Q8" s="90">
        <f t="shared" si="4"/>
        <v>1</v>
      </c>
      <c r="R8" s="111">
        <f t="shared" si="10"/>
        <v>0</v>
      </c>
      <c r="S8" s="92"/>
      <c r="T8" s="106" t="str">
        <f t="shared" si="5"/>
        <v/>
      </c>
      <c r="U8" s="126"/>
    </row>
    <row r="9" spans="1:21" s="22" customFormat="1" ht="26.45" customHeight="1" x14ac:dyDescent="0.2">
      <c r="A9" s="312">
        <v>7</v>
      </c>
      <c r="B9" s="306"/>
      <c r="C9" s="308"/>
      <c r="D9" s="308"/>
      <c r="E9" s="308"/>
      <c r="F9" s="309"/>
      <c r="G9" s="310">
        <f t="shared" si="6"/>
        <v>0</v>
      </c>
      <c r="H9" s="157">
        <f t="shared" si="0"/>
        <v>0</v>
      </c>
      <c r="I9" s="64">
        <f t="shared" si="1"/>
        <v>0</v>
      </c>
      <c r="J9" s="279">
        <f t="shared" si="2"/>
        <v>1</v>
      </c>
      <c r="K9" s="91">
        <f t="shared" si="7"/>
        <v>0</v>
      </c>
      <c r="L9" s="92"/>
      <c r="M9" s="106" t="str">
        <f t="shared" si="3"/>
        <v/>
      </c>
      <c r="N9" s="122"/>
      <c r="O9" s="105">
        <f t="shared" si="8"/>
        <v>0</v>
      </c>
      <c r="P9" s="63">
        <f t="shared" si="9"/>
        <v>0</v>
      </c>
      <c r="Q9" s="90">
        <f t="shared" si="4"/>
        <v>1</v>
      </c>
      <c r="R9" s="111">
        <f t="shared" si="10"/>
        <v>0</v>
      </c>
      <c r="S9" s="92"/>
      <c r="T9" s="106" t="str">
        <f t="shared" si="5"/>
        <v/>
      </c>
      <c r="U9" s="126"/>
    </row>
    <row r="10" spans="1:21" s="22" customFormat="1" ht="26.45" customHeight="1" x14ac:dyDescent="0.2">
      <c r="A10" s="312">
        <v>8</v>
      </c>
      <c r="B10" s="306"/>
      <c r="C10" s="308"/>
      <c r="D10" s="308"/>
      <c r="E10" s="308"/>
      <c r="F10" s="309"/>
      <c r="G10" s="310">
        <f t="shared" si="6"/>
        <v>0</v>
      </c>
      <c r="H10" s="157">
        <f t="shared" si="0"/>
        <v>0</v>
      </c>
      <c r="I10" s="64">
        <f t="shared" si="1"/>
        <v>0</v>
      </c>
      <c r="J10" s="279">
        <f t="shared" si="2"/>
        <v>1</v>
      </c>
      <c r="K10" s="91">
        <f t="shared" si="7"/>
        <v>0</v>
      </c>
      <c r="L10" s="92"/>
      <c r="M10" s="106" t="str">
        <f t="shared" si="3"/>
        <v/>
      </c>
      <c r="N10" s="122"/>
      <c r="O10" s="105">
        <f t="shared" si="8"/>
        <v>0</v>
      </c>
      <c r="P10" s="63">
        <f t="shared" si="9"/>
        <v>0</v>
      </c>
      <c r="Q10" s="90">
        <f t="shared" si="4"/>
        <v>1</v>
      </c>
      <c r="R10" s="111">
        <f t="shared" si="10"/>
        <v>0</v>
      </c>
      <c r="S10" s="92"/>
      <c r="T10" s="106" t="str">
        <f t="shared" si="5"/>
        <v/>
      </c>
      <c r="U10" s="126"/>
    </row>
    <row r="11" spans="1:21" s="22" customFormat="1" ht="26.45" customHeight="1" x14ac:dyDescent="0.2">
      <c r="A11" s="312">
        <v>9</v>
      </c>
      <c r="B11" s="306"/>
      <c r="C11" s="308"/>
      <c r="D11" s="308"/>
      <c r="E11" s="308"/>
      <c r="F11" s="309"/>
      <c r="G11" s="310">
        <f t="shared" si="6"/>
        <v>0</v>
      </c>
      <c r="H11" s="157">
        <f t="shared" si="0"/>
        <v>0</v>
      </c>
      <c r="I11" s="64">
        <f t="shared" si="1"/>
        <v>0</v>
      </c>
      <c r="J11" s="279">
        <f t="shared" si="2"/>
        <v>1</v>
      </c>
      <c r="K11" s="91">
        <f t="shared" si="7"/>
        <v>0</v>
      </c>
      <c r="L11" s="92"/>
      <c r="M11" s="106" t="str">
        <f t="shared" si="3"/>
        <v/>
      </c>
      <c r="N11" s="122"/>
      <c r="O11" s="105">
        <f t="shared" si="8"/>
        <v>0</v>
      </c>
      <c r="P11" s="63">
        <f t="shared" si="9"/>
        <v>0</v>
      </c>
      <c r="Q11" s="90">
        <f t="shared" si="4"/>
        <v>1</v>
      </c>
      <c r="R11" s="111">
        <f t="shared" si="10"/>
        <v>0</v>
      </c>
      <c r="S11" s="92"/>
      <c r="T11" s="106" t="str">
        <f t="shared" si="5"/>
        <v/>
      </c>
      <c r="U11" s="126"/>
    </row>
    <row r="12" spans="1:21" s="22" customFormat="1" ht="26.45" customHeight="1" x14ac:dyDescent="0.2">
      <c r="A12" s="312">
        <v>10</v>
      </c>
      <c r="B12" s="306"/>
      <c r="C12" s="308"/>
      <c r="D12" s="308"/>
      <c r="E12" s="308"/>
      <c r="F12" s="309"/>
      <c r="G12" s="310">
        <f t="shared" si="6"/>
        <v>0</v>
      </c>
      <c r="H12" s="157">
        <f t="shared" si="0"/>
        <v>0</v>
      </c>
      <c r="I12" s="64">
        <f t="shared" si="1"/>
        <v>0</v>
      </c>
      <c r="J12" s="279">
        <f t="shared" si="2"/>
        <v>1</v>
      </c>
      <c r="K12" s="91">
        <f t="shared" si="7"/>
        <v>0</v>
      </c>
      <c r="L12" s="92"/>
      <c r="M12" s="106" t="str">
        <f t="shared" si="3"/>
        <v/>
      </c>
      <c r="N12" s="122"/>
      <c r="O12" s="105">
        <f t="shared" si="8"/>
        <v>0</v>
      </c>
      <c r="P12" s="63">
        <f t="shared" si="9"/>
        <v>0</v>
      </c>
      <c r="Q12" s="90">
        <f t="shared" si="4"/>
        <v>1</v>
      </c>
      <c r="R12" s="111">
        <f t="shared" si="10"/>
        <v>0</v>
      </c>
      <c r="S12" s="92"/>
      <c r="T12" s="106" t="str">
        <f t="shared" si="5"/>
        <v/>
      </c>
      <c r="U12" s="126"/>
    </row>
    <row r="13" spans="1:21" s="22" customFormat="1" ht="26.45" customHeight="1" x14ac:dyDescent="0.2">
      <c r="A13" s="312">
        <v>11</v>
      </c>
      <c r="B13" s="306"/>
      <c r="C13" s="308"/>
      <c r="D13" s="308"/>
      <c r="E13" s="308"/>
      <c r="F13" s="309"/>
      <c r="G13" s="310">
        <f t="shared" si="6"/>
        <v>0</v>
      </c>
      <c r="H13" s="157">
        <f t="shared" si="0"/>
        <v>0</v>
      </c>
      <c r="I13" s="64">
        <f t="shared" si="1"/>
        <v>0</v>
      </c>
      <c r="J13" s="279">
        <f t="shared" si="2"/>
        <v>1</v>
      </c>
      <c r="K13" s="91">
        <f t="shared" si="7"/>
        <v>0</v>
      </c>
      <c r="L13" s="92"/>
      <c r="M13" s="106" t="str">
        <f t="shared" si="3"/>
        <v/>
      </c>
      <c r="N13" s="122"/>
      <c r="O13" s="105">
        <f t="shared" si="8"/>
        <v>0</v>
      </c>
      <c r="P13" s="63">
        <f t="shared" si="9"/>
        <v>0</v>
      </c>
      <c r="Q13" s="90">
        <f t="shared" si="4"/>
        <v>1</v>
      </c>
      <c r="R13" s="111">
        <f t="shared" si="10"/>
        <v>0</v>
      </c>
      <c r="S13" s="92"/>
      <c r="T13" s="106" t="str">
        <f t="shared" si="5"/>
        <v/>
      </c>
      <c r="U13" s="126"/>
    </row>
    <row r="14" spans="1:21" s="22" customFormat="1" ht="26.45" customHeight="1" x14ac:dyDescent="0.2">
      <c r="A14" s="312">
        <v>12</v>
      </c>
      <c r="B14" s="306"/>
      <c r="C14" s="308"/>
      <c r="D14" s="308"/>
      <c r="E14" s="308"/>
      <c r="F14" s="309"/>
      <c r="G14" s="310">
        <f t="shared" si="6"/>
        <v>0</v>
      </c>
      <c r="H14" s="157">
        <f t="shared" si="0"/>
        <v>0</v>
      </c>
      <c r="I14" s="64">
        <f t="shared" si="1"/>
        <v>0</v>
      </c>
      <c r="J14" s="279">
        <f t="shared" si="2"/>
        <v>1</v>
      </c>
      <c r="K14" s="91">
        <f t="shared" si="7"/>
        <v>0</v>
      </c>
      <c r="L14" s="92"/>
      <c r="M14" s="106" t="str">
        <f t="shared" si="3"/>
        <v/>
      </c>
      <c r="N14" s="122"/>
      <c r="O14" s="105">
        <f t="shared" si="8"/>
        <v>0</v>
      </c>
      <c r="P14" s="63">
        <f t="shared" si="9"/>
        <v>0</v>
      </c>
      <c r="Q14" s="90">
        <f t="shared" si="4"/>
        <v>1</v>
      </c>
      <c r="R14" s="111">
        <f t="shared" si="10"/>
        <v>0</v>
      </c>
      <c r="S14" s="92"/>
      <c r="T14" s="106" t="str">
        <f t="shared" si="5"/>
        <v/>
      </c>
      <c r="U14" s="126"/>
    </row>
    <row r="15" spans="1:21" s="22" customFormat="1" ht="26.45" customHeight="1" x14ac:dyDescent="0.2">
      <c r="A15" s="312">
        <v>13</v>
      </c>
      <c r="B15" s="306"/>
      <c r="C15" s="308"/>
      <c r="D15" s="308"/>
      <c r="E15" s="308"/>
      <c r="F15" s="309"/>
      <c r="G15" s="310">
        <f t="shared" si="6"/>
        <v>0</v>
      </c>
      <c r="H15" s="157">
        <f t="shared" si="0"/>
        <v>0</v>
      </c>
      <c r="I15" s="64">
        <f t="shared" si="1"/>
        <v>0</v>
      </c>
      <c r="J15" s="279">
        <f t="shared" si="2"/>
        <v>1</v>
      </c>
      <c r="K15" s="91">
        <f t="shared" si="7"/>
        <v>0</v>
      </c>
      <c r="L15" s="92"/>
      <c r="M15" s="106" t="str">
        <f t="shared" si="3"/>
        <v/>
      </c>
      <c r="N15" s="122"/>
      <c r="O15" s="105">
        <f t="shared" si="8"/>
        <v>0</v>
      </c>
      <c r="P15" s="63">
        <f t="shared" si="9"/>
        <v>0</v>
      </c>
      <c r="Q15" s="90">
        <f t="shared" si="4"/>
        <v>1</v>
      </c>
      <c r="R15" s="111">
        <f t="shared" si="10"/>
        <v>0</v>
      </c>
      <c r="S15" s="92"/>
      <c r="T15" s="106" t="str">
        <f t="shared" si="5"/>
        <v/>
      </c>
      <c r="U15" s="126"/>
    </row>
    <row r="16" spans="1:21" s="22" customFormat="1" ht="26.45" customHeight="1" x14ac:dyDescent="0.2">
      <c r="A16" s="312">
        <v>14</v>
      </c>
      <c r="B16" s="306"/>
      <c r="C16" s="308"/>
      <c r="D16" s="308"/>
      <c r="E16" s="308"/>
      <c r="F16" s="309"/>
      <c r="G16" s="310">
        <f t="shared" si="6"/>
        <v>0</v>
      </c>
      <c r="H16" s="157">
        <f t="shared" si="0"/>
        <v>0</v>
      </c>
      <c r="I16" s="64">
        <f t="shared" si="1"/>
        <v>0</v>
      </c>
      <c r="J16" s="279">
        <f t="shared" si="2"/>
        <v>1</v>
      </c>
      <c r="K16" s="91">
        <f t="shared" si="7"/>
        <v>0</v>
      </c>
      <c r="L16" s="92"/>
      <c r="M16" s="106" t="str">
        <f t="shared" si="3"/>
        <v/>
      </c>
      <c r="N16" s="122"/>
      <c r="O16" s="105">
        <f t="shared" si="8"/>
        <v>0</v>
      </c>
      <c r="P16" s="63">
        <f t="shared" si="9"/>
        <v>0</v>
      </c>
      <c r="Q16" s="90">
        <f t="shared" si="4"/>
        <v>1</v>
      </c>
      <c r="R16" s="111">
        <f t="shared" si="10"/>
        <v>0</v>
      </c>
      <c r="S16" s="92"/>
      <c r="T16" s="106" t="str">
        <f t="shared" si="5"/>
        <v/>
      </c>
      <c r="U16" s="126"/>
    </row>
    <row r="17" spans="1:21" s="22" customFormat="1" ht="26.45" customHeight="1" x14ac:dyDescent="0.2">
      <c r="A17" s="312">
        <v>15</v>
      </c>
      <c r="B17" s="306"/>
      <c r="C17" s="308"/>
      <c r="D17" s="308"/>
      <c r="E17" s="308"/>
      <c r="F17" s="309"/>
      <c r="G17" s="310">
        <f t="shared" si="6"/>
        <v>0</v>
      </c>
      <c r="H17" s="157">
        <f t="shared" si="0"/>
        <v>0</v>
      </c>
      <c r="I17" s="64">
        <f t="shared" si="1"/>
        <v>0</v>
      </c>
      <c r="J17" s="279">
        <f t="shared" si="2"/>
        <v>1</v>
      </c>
      <c r="K17" s="91">
        <f t="shared" si="7"/>
        <v>0</v>
      </c>
      <c r="L17" s="92"/>
      <c r="M17" s="106" t="str">
        <f t="shared" si="3"/>
        <v/>
      </c>
      <c r="N17" s="122"/>
      <c r="O17" s="105">
        <f t="shared" si="8"/>
        <v>0</v>
      </c>
      <c r="P17" s="63">
        <f t="shared" si="9"/>
        <v>0</v>
      </c>
      <c r="Q17" s="90">
        <f t="shared" si="4"/>
        <v>1</v>
      </c>
      <c r="R17" s="111">
        <f t="shared" si="10"/>
        <v>0</v>
      </c>
      <c r="S17" s="92"/>
      <c r="T17" s="106" t="str">
        <f t="shared" si="5"/>
        <v/>
      </c>
      <c r="U17" s="126"/>
    </row>
    <row r="18" spans="1:21" s="22" customFormat="1" ht="26.45" customHeight="1" x14ac:dyDescent="0.2">
      <c r="A18" s="312">
        <v>16</v>
      </c>
      <c r="B18" s="306"/>
      <c r="C18" s="308"/>
      <c r="D18" s="308"/>
      <c r="E18" s="308"/>
      <c r="F18" s="309"/>
      <c r="G18" s="310">
        <f t="shared" si="6"/>
        <v>0</v>
      </c>
      <c r="H18" s="157">
        <f t="shared" si="0"/>
        <v>0</v>
      </c>
      <c r="I18" s="64">
        <f t="shared" si="1"/>
        <v>0</v>
      </c>
      <c r="J18" s="279">
        <f t="shared" si="2"/>
        <v>1</v>
      </c>
      <c r="K18" s="91">
        <f t="shared" si="7"/>
        <v>0</v>
      </c>
      <c r="L18" s="92"/>
      <c r="M18" s="106" t="str">
        <f t="shared" si="3"/>
        <v/>
      </c>
      <c r="N18" s="122"/>
      <c r="O18" s="105">
        <f t="shared" si="8"/>
        <v>0</v>
      </c>
      <c r="P18" s="63">
        <f t="shared" si="9"/>
        <v>0</v>
      </c>
      <c r="Q18" s="90">
        <f t="shared" si="4"/>
        <v>1</v>
      </c>
      <c r="R18" s="111">
        <f t="shared" si="10"/>
        <v>0</v>
      </c>
      <c r="S18" s="92"/>
      <c r="T18" s="106" t="str">
        <f t="shared" si="5"/>
        <v/>
      </c>
      <c r="U18" s="126"/>
    </row>
    <row r="19" spans="1:21" s="22" customFormat="1" ht="26.45" customHeight="1" x14ac:dyDescent="0.2">
      <c r="A19" s="312">
        <v>17</v>
      </c>
      <c r="B19" s="306"/>
      <c r="C19" s="308"/>
      <c r="D19" s="308"/>
      <c r="E19" s="308"/>
      <c r="F19" s="309"/>
      <c r="G19" s="310">
        <f t="shared" si="6"/>
        <v>0</v>
      </c>
      <c r="H19" s="157">
        <f t="shared" si="0"/>
        <v>0</v>
      </c>
      <c r="I19" s="64">
        <f t="shared" si="1"/>
        <v>0</v>
      </c>
      <c r="J19" s="279">
        <f t="shared" si="2"/>
        <v>1</v>
      </c>
      <c r="K19" s="91">
        <f t="shared" si="7"/>
        <v>0</v>
      </c>
      <c r="L19" s="92"/>
      <c r="M19" s="106" t="str">
        <f t="shared" si="3"/>
        <v/>
      </c>
      <c r="N19" s="122"/>
      <c r="O19" s="105">
        <f t="shared" si="8"/>
        <v>0</v>
      </c>
      <c r="P19" s="63">
        <f t="shared" si="9"/>
        <v>0</v>
      </c>
      <c r="Q19" s="90">
        <f t="shared" si="4"/>
        <v>1</v>
      </c>
      <c r="R19" s="111">
        <f t="shared" si="10"/>
        <v>0</v>
      </c>
      <c r="S19" s="92"/>
      <c r="T19" s="106" t="str">
        <f t="shared" si="5"/>
        <v/>
      </c>
      <c r="U19" s="126"/>
    </row>
    <row r="20" spans="1:21" s="22" customFormat="1" ht="26.45" customHeight="1" x14ac:dyDescent="0.2">
      <c r="A20" s="312">
        <v>18</v>
      </c>
      <c r="B20" s="306"/>
      <c r="C20" s="308"/>
      <c r="D20" s="308"/>
      <c r="E20" s="308"/>
      <c r="F20" s="309"/>
      <c r="G20" s="310">
        <f t="shared" si="6"/>
        <v>0</v>
      </c>
      <c r="H20" s="157">
        <f t="shared" si="0"/>
        <v>0</v>
      </c>
      <c r="I20" s="64">
        <f t="shared" si="1"/>
        <v>0</v>
      </c>
      <c r="J20" s="279">
        <f t="shared" si="2"/>
        <v>1</v>
      </c>
      <c r="K20" s="91">
        <f t="shared" si="7"/>
        <v>0</v>
      </c>
      <c r="L20" s="92"/>
      <c r="M20" s="106" t="str">
        <f t="shared" si="3"/>
        <v/>
      </c>
      <c r="N20" s="122"/>
      <c r="O20" s="105">
        <f t="shared" si="8"/>
        <v>0</v>
      </c>
      <c r="P20" s="63">
        <f t="shared" si="9"/>
        <v>0</v>
      </c>
      <c r="Q20" s="90">
        <f t="shared" si="4"/>
        <v>1</v>
      </c>
      <c r="R20" s="111">
        <f t="shared" si="10"/>
        <v>0</v>
      </c>
      <c r="S20" s="92"/>
      <c r="T20" s="106" t="str">
        <f t="shared" si="5"/>
        <v/>
      </c>
      <c r="U20" s="126"/>
    </row>
    <row r="21" spans="1:21" s="22" customFormat="1" ht="26.45" customHeight="1" x14ac:dyDescent="0.2">
      <c r="A21" s="312">
        <v>19</v>
      </c>
      <c r="B21" s="306"/>
      <c r="C21" s="308"/>
      <c r="D21" s="308"/>
      <c r="E21" s="308"/>
      <c r="F21" s="309"/>
      <c r="G21" s="310">
        <f t="shared" si="6"/>
        <v>0</v>
      </c>
      <c r="H21" s="157">
        <f t="shared" si="0"/>
        <v>0</v>
      </c>
      <c r="I21" s="64">
        <f t="shared" si="1"/>
        <v>0</v>
      </c>
      <c r="J21" s="279">
        <f t="shared" si="2"/>
        <v>1</v>
      </c>
      <c r="K21" s="91">
        <f t="shared" si="7"/>
        <v>0</v>
      </c>
      <c r="L21" s="92"/>
      <c r="M21" s="106" t="str">
        <f t="shared" si="3"/>
        <v/>
      </c>
      <c r="N21" s="122"/>
      <c r="O21" s="105">
        <f t="shared" si="8"/>
        <v>0</v>
      </c>
      <c r="P21" s="63">
        <f t="shared" si="9"/>
        <v>0</v>
      </c>
      <c r="Q21" s="90">
        <f t="shared" si="4"/>
        <v>1</v>
      </c>
      <c r="R21" s="111">
        <f t="shared" si="10"/>
        <v>0</v>
      </c>
      <c r="S21" s="92"/>
      <c r="T21" s="106" t="str">
        <f t="shared" si="5"/>
        <v/>
      </c>
      <c r="U21" s="126"/>
    </row>
    <row r="22" spans="1:21" s="22" customFormat="1" ht="26.45" customHeight="1" x14ac:dyDescent="0.2">
      <c r="A22" s="312">
        <v>20</v>
      </c>
      <c r="B22" s="306"/>
      <c r="C22" s="308"/>
      <c r="D22" s="308"/>
      <c r="E22" s="308"/>
      <c r="F22" s="309"/>
      <c r="G22" s="310">
        <f t="shared" si="6"/>
        <v>0</v>
      </c>
      <c r="H22" s="157">
        <f t="shared" si="0"/>
        <v>0</v>
      </c>
      <c r="I22" s="64">
        <f t="shared" si="1"/>
        <v>0</v>
      </c>
      <c r="J22" s="279">
        <f t="shared" si="2"/>
        <v>1</v>
      </c>
      <c r="K22" s="91">
        <f t="shared" si="7"/>
        <v>0</v>
      </c>
      <c r="L22" s="92"/>
      <c r="M22" s="106" t="str">
        <f t="shared" si="3"/>
        <v/>
      </c>
      <c r="N22" s="122"/>
      <c r="O22" s="105">
        <f t="shared" si="8"/>
        <v>0</v>
      </c>
      <c r="P22" s="63">
        <f t="shared" si="9"/>
        <v>0</v>
      </c>
      <c r="Q22" s="90">
        <f t="shared" si="4"/>
        <v>1</v>
      </c>
      <c r="R22" s="111">
        <f t="shared" si="10"/>
        <v>0</v>
      </c>
      <c r="S22" s="92"/>
      <c r="T22" s="106" t="str">
        <f t="shared" si="5"/>
        <v/>
      </c>
      <c r="U22" s="126"/>
    </row>
    <row r="23" spans="1:21" s="22" customFormat="1" ht="26.45" customHeight="1" x14ac:dyDescent="0.2">
      <c r="A23" s="312">
        <v>21</v>
      </c>
      <c r="B23" s="306"/>
      <c r="C23" s="308"/>
      <c r="D23" s="308"/>
      <c r="E23" s="308"/>
      <c r="F23" s="309"/>
      <c r="G23" s="310">
        <f t="shared" si="6"/>
        <v>0</v>
      </c>
      <c r="H23" s="157">
        <f t="shared" si="0"/>
        <v>0</v>
      </c>
      <c r="I23" s="64">
        <f t="shared" si="1"/>
        <v>0</v>
      </c>
      <c r="J23" s="279">
        <f t="shared" si="2"/>
        <v>1</v>
      </c>
      <c r="K23" s="91">
        <f t="shared" si="7"/>
        <v>0</v>
      </c>
      <c r="L23" s="92"/>
      <c r="M23" s="106" t="str">
        <f t="shared" si="3"/>
        <v/>
      </c>
      <c r="N23" s="122"/>
      <c r="O23" s="105">
        <f t="shared" si="8"/>
        <v>0</v>
      </c>
      <c r="P23" s="63">
        <f t="shared" si="9"/>
        <v>0</v>
      </c>
      <c r="Q23" s="90">
        <f t="shared" si="4"/>
        <v>1</v>
      </c>
      <c r="R23" s="111">
        <f t="shared" si="10"/>
        <v>0</v>
      </c>
      <c r="S23" s="92"/>
      <c r="T23" s="106" t="str">
        <f t="shared" si="5"/>
        <v/>
      </c>
      <c r="U23" s="126"/>
    </row>
    <row r="24" spans="1:21" s="22" customFormat="1" ht="26.45" customHeight="1" x14ac:dyDescent="0.2">
      <c r="A24" s="312">
        <v>22</v>
      </c>
      <c r="B24" s="306"/>
      <c r="C24" s="308"/>
      <c r="D24" s="308"/>
      <c r="E24" s="308"/>
      <c r="F24" s="309"/>
      <c r="G24" s="310">
        <f t="shared" si="6"/>
        <v>0</v>
      </c>
      <c r="H24" s="157">
        <f t="shared" si="0"/>
        <v>0</v>
      </c>
      <c r="I24" s="64">
        <f t="shared" si="1"/>
        <v>0</v>
      </c>
      <c r="J24" s="279">
        <f t="shared" si="2"/>
        <v>1</v>
      </c>
      <c r="K24" s="91">
        <f t="shared" si="7"/>
        <v>0</v>
      </c>
      <c r="L24" s="92"/>
      <c r="M24" s="106" t="str">
        <f t="shared" si="3"/>
        <v/>
      </c>
      <c r="N24" s="122"/>
      <c r="O24" s="105">
        <f t="shared" si="8"/>
        <v>0</v>
      </c>
      <c r="P24" s="63">
        <f t="shared" si="9"/>
        <v>0</v>
      </c>
      <c r="Q24" s="90">
        <f t="shared" si="4"/>
        <v>1</v>
      </c>
      <c r="R24" s="111">
        <f t="shared" si="10"/>
        <v>0</v>
      </c>
      <c r="S24" s="92"/>
      <c r="T24" s="106" t="str">
        <f t="shared" si="5"/>
        <v/>
      </c>
      <c r="U24" s="126"/>
    </row>
    <row r="25" spans="1:21" s="22" customFormat="1" ht="26.45" customHeight="1" x14ac:dyDescent="0.2">
      <c r="A25" s="312">
        <v>23</v>
      </c>
      <c r="B25" s="306"/>
      <c r="C25" s="308"/>
      <c r="D25" s="308"/>
      <c r="E25" s="308"/>
      <c r="F25" s="309"/>
      <c r="G25" s="310">
        <f t="shared" si="6"/>
        <v>0</v>
      </c>
      <c r="H25" s="157">
        <f t="shared" si="0"/>
        <v>0</v>
      </c>
      <c r="I25" s="64">
        <f t="shared" si="1"/>
        <v>0</v>
      </c>
      <c r="J25" s="279">
        <f t="shared" si="2"/>
        <v>1</v>
      </c>
      <c r="K25" s="91">
        <f t="shared" si="7"/>
        <v>0</v>
      </c>
      <c r="L25" s="92"/>
      <c r="M25" s="106" t="str">
        <f t="shared" si="3"/>
        <v/>
      </c>
      <c r="N25" s="122"/>
      <c r="O25" s="105">
        <f t="shared" si="8"/>
        <v>0</v>
      </c>
      <c r="P25" s="63">
        <f t="shared" si="9"/>
        <v>0</v>
      </c>
      <c r="Q25" s="90">
        <f t="shared" si="4"/>
        <v>1</v>
      </c>
      <c r="R25" s="111">
        <f t="shared" si="10"/>
        <v>0</v>
      </c>
      <c r="S25" s="92"/>
      <c r="T25" s="106" t="str">
        <f t="shared" si="5"/>
        <v/>
      </c>
      <c r="U25" s="126"/>
    </row>
    <row r="26" spans="1:21" s="22" customFormat="1" ht="26.45" customHeight="1" x14ac:dyDescent="0.2">
      <c r="A26" s="312">
        <v>24</v>
      </c>
      <c r="B26" s="306"/>
      <c r="C26" s="308"/>
      <c r="D26" s="308"/>
      <c r="E26" s="308"/>
      <c r="F26" s="309"/>
      <c r="G26" s="310">
        <f t="shared" si="6"/>
        <v>0</v>
      </c>
      <c r="H26" s="157">
        <f t="shared" si="0"/>
        <v>0</v>
      </c>
      <c r="I26" s="64">
        <f t="shared" si="1"/>
        <v>0</v>
      </c>
      <c r="J26" s="279">
        <f t="shared" si="2"/>
        <v>1</v>
      </c>
      <c r="K26" s="91">
        <f t="shared" si="7"/>
        <v>0</v>
      </c>
      <c r="L26" s="92"/>
      <c r="M26" s="106" t="str">
        <f t="shared" si="3"/>
        <v/>
      </c>
      <c r="N26" s="122"/>
      <c r="O26" s="105">
        <f t="shared" si="8"/>
        <v>0</v>
      </c>
      <c r="P26" s="63">
        <f t="shared" si="9"/>
        <v>0</v>
      </c>
      <c r="Q26" s="90">
        <f t="shared" si="4"/>
        <v>1</v>
      </c>
      <c r="R26" s="111">
        <f t="shared" si="10"/>
        <v>0</v>
      </c>
      <c r="S26" s="92"/>
      <c r="T26" s="106" t="str">
        <f t="shared" si="5"/>
        <v/>
      </c>
      <c r="U26" s="126"/>
    </row>
    <row r="27" spans="1:21" s="22" customFormat="1" ht="26.45" customHeight="1" x14ac:dyDescent="0.2">
      <c r="A27" s="312">
        <v>25</v>
      </c>
      <c r="B27" s="306"/>
      <c r="C27" s="308"/>
      <c r="D27" s="308"/>
      <c r="E27" s="308"/>
      <c r="F27" s="309"/>
      <c r="G27" s="310">
        <f t="shared" si="6"/>
        <v>0</v>
      </c>
      <c r="H27" s="157">
        <f t="shared" si="0"/>
        <v>0</v>
      </c>
      <c r="I27" s="64">
        <f t="shared" si="1"/>
        <v>0</v>
      </c>
      <c r="J27" s="279">
        <f t="shared" si="2"/>
        <v>1</v>
      </c>
      <c r="K27" s="91">
        <f t="shared" si="7"/>
        <v>0</v>
      </c>
      <c r="L27" s="92"/>
      <c r="M27" s="106" t="str">
        <f t="shared" si="3"/>
        <v/>
      </c>
      <c r="N27" s="122"/>
      <c r="O27" s="105">
        <f t="shared" si="8"/>
        <v>0</v>
      </c>
      <c r="P27" s="63">
        <f t="shared" si="9"/>
        <v>0</v>
      </c>
      <c r="Q27" s="90">
        <f t="shared" si="4"/>
        <v>1</v>
      </c>
      <c r="R27" s="111">
        <f t="shared" si="10"/>
        <v>0</v>
      </c>
      <c r="S27" s="92"/>
      <c r="T27" s="106" t="str">
        <f t="shared" si="5"/>
        <v/>
      </c>
      <c r="U27" s="126"/>
    </row>
    <row r="28" spans="1:21" s="22" customFormat="1" ht="26.45" customHeight="1" x14ac:dyDescent="0.2">
      <c r="A28" s="312">
        <v>26</v>
      </c>
      <c r="B28" s="306"/>
      <c r="C28" s="308"/>
      <c r="D28" s="308"/>
      <c r="E28" s="308"/>
      <c r="F28" s="309"/>
      <c r="G28" s="310">
        <f t="shared" si="6"/>
        <v>0</v>
      </c>
      <c r="H28" s="157">
        <f t="shared" si="0"/>
        <v>0</v>
      </c>
      <c r="I28" s="64">
        <f t="shared" si="1"/>
        <v>0</v>
      </c>
      <c r="J28" s="279">
        <f t="shared" si="2"/>
        <v>1</v>
      </c>
      <c r="K28" s="91">
        <f t="shared" si="7"/>
        <v>0</v>
      </c>
      <c r="L28" s="92"/>
      <c r="M28" s="106" t="str">
        <f t="shared" si="3"/>
        <v/>
      </c>
      <c r="N28" s="122"/>
      <c r="O28" s="105">
        <f t="shared" si="8"/>
        <v>0</v>
      </c>
      <c r="P28" s="63">
        <f t="shared" si="9"/>
        <v>0</v>
      </c>
      <c r="Q28" s="90">
        <f t="shared" si="4"/>
        <v>1</v>
      </c>
      <c r="R28" s="111">
        <f t="shared" si="10"/>
        <v>0</v>
      </c>
      <c r="S28" s="92"/>
      <c r="T28" s="106" t="str">
        <f t="shared" si="5"/>
        <v/>
      </c>
      <c r="U28" s="126"/>
    </row>
    <row r="29" spans="1:21" s="22" customFormat="1" ht="26.45" customHeight="1" x14ac:dyDescent="0.2">
      <c r="A29" s="312">
        <v>27</v>
      </c>
      <c r="B29" s="306"/>
      <c r="C29" s="308"/>
      <c r="D29" s="308"/>
      <c r="E29" s="308"/>
      <c r="F29" s="309"/>
      <c r="G29" s="310">
        <f t="shared" si="6"/>
        <v>0</v>
      </c>
      <c r="H29" s="157">
        <f t="shared" si="0"/>
        <v>0</v>
      </c>
      <c r="I29" s="64">
        <f t="shared" si="1"/>
        <v>0</v>
      </c>
      <c r="J29" s="279">
        <f t="shared" si="2"/>
        <v>1</v>
      </c>
      <c r="K29" s="91">
        <f t="shared" si="7"/>
        <v>0</v>
      </c>
      <c r="L29" s="92"/>
      <c r="M29" s="106" t="str">
        <f t="shared" si="3"/>
        <v/>
      </c>
      <c r="N29" s="122"/>
      <c r="O29" s="105">
        <f t="shared" si="8"/>
        <v>0</v>
      </c>
      <c r="P29" s="63">
        <f t="shared" si="9"/>
        <v>0</v>
      </c>
      <c r="Q29" s="90">
        <f t="shared" si="4"/>
        <v>1</v>
      </c>
      <c r="R29" s="111">
        <f t="shared" si="10"/>
        <v>0</v>
      </c>
      <c r="S29" s="92"/>
      <c r="T29" s="106" t="str">
        <f t="shared" si="5"/>
        <v/>
      </c>
      <c r="U29" s="126"/>
    </row>
    <row r="30" spans="1:21" s="22" customFormat="1" ht="26.45" customHeight="1" x14ac:dyDescent="0.2">
      <c r="A30" s="312">
        <v>28</v>
      </c>
      <c r="B30" s="306"/>
      <c r="C30" s="308"/>
      <c r="D30" s="308"/>
      <c r="E30" s="308"/>
      <c r="F30" s="309"/>
      <c r="G30" s="310">
        <f t="shared" si="6"/>
        <v>0</v>
      </c>
      <c r="H30" s="157">
        <f t="shared" si="0"/>
        <v>0</v>
      </c>
      <c r="I30" s="64">
        <f t="shared" si="1"/>
        <v>0</v>
      </c>
      <c r="J30" s="279">
        <f t="shared" si="2"/>
        <v>1</v>
      </c>
      <c r="K30" s="91">
        <f t="shared" si="7"/>
        <v>0</v>
      </c>
      <c r="L30" s="92"/>
      <c r="M30" s="106" t="str">
        <f t="shared" si="3"/>
        <v/>
      </c>
      <c r="N30" s="122"/>
      <c r="O30" s="105">
        <f t="shared" si="8"/>
        <v>0</v>
      </c>
      <c r="P30" s="63">
        <f t="shared" si="9"/>
        <v>0</v>
      </c>
      <c r="Q30" s="90">
        <f t="shared" si="4"/>
        <v>1</v>
      </c>
      <c r="R30" s="111">
        <f t="shared" si="10"/>
        <v>0</v>
      </c>
      <c r="S30" s="92"/>
      <c r="T30" s="106" t="str">
        <f t="shared" si="5"/>
        <v/>
      </c>
      <c r="U30" s="126"/>
    </row>
    <row r="31" spans="1:21" s="22" customFormat="1" ht="26.45" customHeight="1" x14ac:dyDescent="0.2">
      <c r="A31" s="312">
        <v>29</v>
      </c>
      <c r="B31" s="306"/>
      <c r="C31" s="308"/>
      <c r="D31" s="308"/>
      <c r="E31" s="308"/>
      <c r="F31" s="309"/>
      <c r="G31" s="310">
        <f t="shared" si="6"/>
        <v>0</v>
      </c>
      <c r="H31" s="157">
        <f t="shared" si="0"/>
        <v>0</v>
      </c>
      <c r="I31" s="64">
        <f t="shared" si="1"/>
        <v>0</v>
      </c>
      <c r="J31" s="279">
        <f t="shared" si="2"/>
        <v>1</v>
      </c>
      <c r="K31" s="91">
        <f t="shared" si="7"/>
        <v>0</v>
      </c>
      <c r="L31" s="92"/>
      <c r="M31" s="106" t="str">
        <f t="shared" si="3"/>
        <v/>
      </c>
      <c r="N31" s="122"/>
      <c r="O31" s="105">
        <f t="shared" si="8"/>
        <v>0</v>
      </c>
      <c r="P31" s="63">
        <f t="shared" si="9"/>
        <v>0</v>
      </c>
      <c r="Q31" s="90">
        <f t="shared" si="4"/>
        <v>1</v>
      </c>
      <c r="R31" s="111">
        <f t="shared" si="10"/>
        <v>0</v>
      </c>
      <c r="S31" s="92"/>
      <c r="T31" s="106" t="str">
        <f t="shared" si="5"/>
        <v/>
      </c>
      <c r="U31" s="126"/>
    </row>
    <row r="32" spans="1:21" s="22" customFormat="1" ht="26.45" customHeight="1" x14ac:dyDescent="0.2">
      <c r="A32" s="312">
        <v>30</v>
      </c>
      <c r="B32" s="306"/>
      <c r="C32" s="308"/>
      <c r="D32" s="308"/>
      <c r="E32" s="308"/>
      <c r="F32" s="309"/>
      <c r="G32" s="310">
        <f t="shared" si="6"/>
        <v>0</v>
      </c>
      <c r="H32" s="157">
        <f t="shared" si="0"/>
        <v>0</v>
      </c>
      <c r="I32" s="64">
        <f t="shared" si="1"/>
        <v>0</v>
      </c>
      <c r="J32" s="279">
        <f t="shared" si="2"/>
        <v>1</v>
      </c>
      <c r="K32" s="91">
        <f t="shared" si="7"/>
        <v>0</v>
      </c>
      <c r="L32" s="92"/>
      <c r="M32" s="106" t="str">
        <f t="shared" si="3"/>
        <v/>
      </c>
      <c r="N32" s="122"/>
      <c r="O32" s="105">
        <f t="shared" si="8"/>
        <v>0</v>
      </c>
      <c r="P32" s="63">
        <f t="shared" si="9"/>
        <v>0</v>
      </c>
      <c r="Q32" s="90">
        <f t="shared" si="4"/>
        <v>1</v>
      </c>
      <c r="R32" s="111">
        <f t="shared" si="10"/>
        <v>0</v>
      </c>
      <c r="S32" s="92"/>
      <c r="T32" s="106" t="str">
        <f t="shared" si="5"/>
        <v/>
      </c>
      <c r="U32" s="126"/>
    </row>
    <row r="33" spans="1:21" s="22" customFormat="1" ht="26.45" customHeight="1" x14ac:dyDescent="0.2">
      <c r="A33" s="312">
        <v>31</v>
      </c>
      <c r="B33" s="306"/>
      <c r="C33" s="308"/>
      <c r="D33" s="308"/>
      <c r="E33" s="308"/>
      <c r="F33" s="309"/>
      <c r="G33" s="310">
        <f t="shared" si="6"/>
        <v>0</v>
      </c>
      <c r="H33" s="157">
        <f t="shared" si="0"/>
        <v>0</v>
      </c>
      <c r="I33" s="64">
        <f t="shared" si="1"/>
        <v>0</v>
      </c>
      <c r="J33" s="279">
        <f t="shared" si="2"/>
        <v>1</v>
      </c>
      <c r="K33" s="91">
        <f t="shared" si="7"/>
        <v>0</v>
      </c>
      <c r="L33" s="92"/>
      <c r="M33" s="106" t="str">
        <f t="shared" si="3"/>
        <v/>
      </c>
      <c r="N33" s="122"/>
      <c r="O33" s="105">
        <f t="shared" si="8"/>
        <v>0</v>
      </c>
      <c r="P33" s="63">
        <f t="shared" si="9"/>
        <v>0</v>
      </c>
      <c r="Q33" s="90">
        <f t="shared" si="4"/>
        <v>1</v>
      </c>
      <c r="R33" s="111">
        <f t="shared" si="10"/>
        <v>0</v>
      </c>
      <c r="S33" s="92"/>
      <c r="T33" s="106" t="str">
        <f t="shared" si="5"/>
        <v/>
      </c>
      <c r="U33" s="126"/>
    </row>
    <row r="34" spans="1:21" s="22" customFormat="1" ht="26.45" customHeight="1" x14ac:dyDescent="0.2">
      <c r="A34" s="312">
        <v>32</v>
      </c>
      <c r="B34" s="306"/>
      <c r="C34" s="308"/>
      <c r="D34" s="308"/>
      <c r="E34" s="308"/>
      <c r="F34" s="309"/>
      <c r="G34" s="310">
        <f t="shared" si="6"/>
        <v>0</v>
      </c>
      <c r="H34" s="157">
        <f t="shared" si="0"/>
        <v>0</v>
      </c>
      <c r="I34" s="64">
        <f t="shared" si="1"/>
        <v>0</v>
      </c>
      <c r="J34" s="279">
        <f t="shared" si="2"/>
        <v>1</v>
      </c>
      <c r="K34" s="91">
        <f t="shared" si="7"/>
        <v>0</v>
      </c>
      <c r="L34" s="92"/>
      <c r="M34" s="106" t="str">
        <f t="shared" si="3"/>
        <v/>
      </c>
      <c r="N34" s="122"/>
      <c r="O34" s="105">
        <f t="shared" si="8"/>
        <v>0</v>
      </c>
      <c r="P34" s="63">
        <f t="shared" si="9"/>
        <v>0</v>
      </c>
      <c r="Q34" s="90">
        <f t="shared" si="4"/>
        <v>1</v>
      </c>
      <c r="R34" s="111">
        <f t="shared" si="10"/>
        <v>0</v>
      </c>
      <c r="S34" s="92"/>
      <c r="T34" s="106" t="str">
        <f t="shared" si="5"/>
        <v/>
      </c>
      <c r="U34" s="126"/>
    </row>
    <row r="35" spans="1:21" s="22" customFormat="1" ht="26.45" customHeight="1" x14ac:dyDescent="0.2">
      <c r="A35" s="312">
        <v>33</v>
      </c>
      <c r="B35" s="306"/>
      <c r="C35" s="308"/>
      <c r="D35" s="308"/>
      <c r="E35" s="308"/>
      <c r="F35" s="309"/>
      <c r="G35" s="310">
        <f t="shared" si="6"/>
        <v>0</v>
      </c>
      <c r="H35" s="157">
        <f t="shared" si="0"/>
        <v>0</v>
      </c>
      <c r="I35" s="64">
        <f t="shared" si="1"/>
        <v>0</v>
      </c>
      <c r="J35" s="279">
        <f t="shared" si="2"/>
        <v>1</v>
      </c>
      <c r="K35" s="91">
        <f t="shared" si="7"/>
        <v>0</v>
      </c>
      <c r="L35" s="92"/>
      <c r="M35" s="106" t="str">
        <f t="shared" si="3"/>
        <v/>
      </c>
      <c r="N35" s="122"/>
      <c r="O35" s="105">
        <f t="shared" si="8"/>
        <v>0</v>
      </c>
      <c r="P35" s="63">
        <f t="shared" si="9"/>
        <v>0</v>
      </c>
      <c r="Q35" s="90">
        <f t="shared" si="4"/>
        <v>1</v>
      </c>
      <c r="R35" s="111">
        <f t="shared" si="10"/>
        <v>0</v>
      </c>
      <c r="S35" s="92"/>
      <c r="T35" s="106" t="str">
        <f t="shared" si="5"/>
        <v/>
      </c>
      <c r="U35" s="126"/>
    </row>
    <row r="36" spans="1:21" s="22" customFormat="1" ht="26.45" customHeight="1" x14ac:dyDescent="0.2">
      <c r="A36" s="312">
        <v>34</v>
      </c>
      <c r="B36" s="306"/>
      <c r="C36" s="308"/>
      <c r="D36" s="308"/>
      <c r="E36" s="308"/>
      <c r="F36" s="309"/>
      <c r="G36" s="310">
        <f t="shared" si="6"/>
        <v>0</v>
      </c>
      <c r="H36" s="157">
        <f t="shared" si="0"/>
        <v>0</v>
      </c>
      <c r="I36" s="64">
        <f t="shared" si="1"/>
        <v>0</v>
      </c>
      <c r="J36" s="279">
        <f t="shared" si="2"/>
        <v>1</v>
      </c>
      <c r="K36" s="91">
        <f t="shared" si="7"/>
        <v>0</v>
      </c>
      <c r="L36" s="92"/>
      <c r="M36" s="106" t="str">
        <f t="shared" si="3"/>
        <v/>
      </c>
      <c r="N36" s="122"/>
      <c r="O36" s="105">
        <f t="shared" si="8"/>
        <v>0</v>
      </c>
      <c r="P36" s="63">
        <f t="shared" si="9"/>
        <v>0</v>
      </c>
      <c r="Q36" s="90">
        <f t="shared" si="4"/>
        <v>1</v>
      </c>
      <c r="R36" s="111">
        <f t="shared" si="10"/>
        <v>0</v>
      </c>
      <c r="S36" s="92"/>
      <c r="T36" s="106" t="str">
        <f t="shared" si="5"/>
        <v/>
      </c>
      <c r="U36" s="126"/>
    </row>
    <row r="37" spans="1:21" s="22" customFormat="1" ht="26.45" customHeight="1" x14ac:dyDescent="0.2">
      <c r="A37" s="312">
        <v>35</v>
      </c>
      <c r="B37" s="306"/>
      <c r="C37" s="308"/>
      <c r="D37" s="308"/>
      <c r="E37" s="308"/>
      <c r="F37" s="309"/>
      <c r="G37" s="310">
        <f t="shared" si="6"/>
        <v>0</v>
      </c>
      <c r="H37" s="157">
        <f t="shared" si="0"/>
        <v>0</v>
      </c>
      <c r="I37" s="64">
        <f t="shared" si="1"/>
        <v>0</v>
      </c>
      <c r="J37" s="279">
        <f t="shared" si="2"/>
        <v>1</v>
      </c>
      <c r="K37" s="91">
        <f t="shared" si="7"/>
        <v>0</v>
      </c>
      <c r="L37" s="92"/>
      <c r="M37" s="106" t="str">
        <f t="shared" si="3"/>
        <v/>
      </c>
      <c r="N37" s="122"/>
      <c r="O37" s="105">
        <f t="shared" si="8"/>
        <v>0</v>
      </c>
      <c r="P37" s="63">
        <f t="shared" si="9"/>
        <v>0</v>
      </c>
      <c r="Q37" s="90">
        <f t="shared" si="4"/>
        <v>1</v>
      </c>
      <c r="R37" s="111">
        <f t="shared" si="10"/>
        <v>0</v>
      </c>
      <c r="S37" s="92"/>
      <c r="T37" s="106" t="str">
        <f t="shared" si="5"/>
        <v/>
      </c>
      <c r="U37" s="126"/>
    </row>
    <row r="38" spans="1:21" s="22" customFormat="1" ht="26.45" customHeight="1" x14ac:dyDescent="0.2">
      <c r="A38" s="312">
        <v>36</v>
      </c>
      <c r="B38" s="306"/>
      <c r="C38" s="308"/>
      <c r="D38" s="308"/>
      <c r="E38" s="308"/>
      <c r="F38" s="309"/>
      <c r="G38" s="310">
        <f t="shared" si="6"/>
        <v>0</v>
      </c>
      <c r="H38" s="157">
        <f t="shared" si="0"/>
        <v>0</v>
      </c>
      <c r="I38" s="64">
        <f t="shared" si="1"/>
        <v>0</v>
      </c>
      <c r="J38" s="279">
        <f t="shared" si="2"/>
        <v>1</v>
      </c>
      <c r="K38" s="91">
        <f t="shared" si="7"/>
        <v>0</v>
      </c>
      <c r="L38" s="92"/>
      <c r="M38" s="106" t="str">
        <f t="shared" si="3"/>
        <v/>
      </c>
      <c r="N38" s="122"/>
      <c r="O38" s="105">
        <f t="shared" si="8"/>
        <v>0</v>
      </c>
      <c r="P38" s="63">
        <f t="shared" si="9"/>
        <v>0</v>
      </c>
      <c r="Q38" s="90">
        <f t="shared" si="4"/>
        <v>1</v>
      </c>
      <c r="R38" s="111">
        <f t="shared" si="10"/>
        <v>0</v>
      </c>
      <c r="S38" s="92"/>
      <c r="T38" s="106" t="str">
        <f t="shared" si="5"/>
        <v/>
      </c>
      <c r="U38" s="126"/>
    </row>
    <row r="39" spans="1:21" s="22" customFormat="1" ht="26.45" customHeight="1" x14ac:dyDescent="0.2">
      <c r="A39" s="312">
        <v>37</v>
      </c>
      <c r="B39" s="306"/>
      <c r="C39" s="308"/>
      <c r="D39" s="308"/>
      <c r="E39" s="308"/>
      <c r="F39" s="309"/>
      <c r="G39" s="310">
        <f t="shared" si="6"/>
        <v>0</v>
      </c>
      <c r="H39" s="157">
        <f t="shared" si="0"/>
        <v>0</v>
      </c>
      <c r="I39" s="64">
        <f t="shared" si="1"/>
        <v>0</v>
      </c>
      <c r="J39" s="279">
        <f t="shared" si="2"/>
        <v>1</v>
      </c>
      <c r="K39" s="91">
        <f t="shared" si="7"/>
        <v>0</v>
      </c>
      <c r="L39" s="92"/>
      <c r="M39" s="106" t="str">
        <f t="shared" si="3"/>
        <v/>
      </c>
      <c r="N39" s="122"/>
      <c r="O39" s="105">
        <f t="shared" si="8"/>
        <v>0</v>
      </c>
      <c r="P39" s="63">
        <f t="shared" si="9"/>
        <v>0</v>
      </c>
      <c r="Q39" s="90">
        <f t="shared" si="4"/>
        <v>1</v>
      </c>
      <c r="R39" s="111">
        <f t="shared" si="10"/>
        <v>0</v>
      </c>
      <c r="S39" s="92"/>
      <c r="T39" s="106" t="str">
        <f t="shared" si="5"/>
        <v/>
      </c>
      <c r="U39" s="126"/>
    </row>
    <row r="40" spans="1:21" s="22" customFormat="1" ht="26.45" customHeight="1" x14ac:dyDescent="0.2">
      <c r="A40" s="312">
        <v>38</v>
      </c>
      <c r="B40" s="306"/>
      <c r="C40" s="308"/>
      <c r="D40" s="308"/>
      <c r="E40" s="308"/>
      <c r="F40" s="309"/>
      <c r="G40" s="310">
        <f t="shared" si="6"/>
        <v>0</v>
      </c>
      <c r="H40" s="157">
        <f t="shared" si="0"/>
        <v>0</v>
      </c>
      <c r="I40" s="64">
        <f t="shared" si="1"/>
        <v>0</v>
      </c>
      <c r="J40" s="279">
        <f t="shared" si="2"/>
        <v>1</v>
      </c>
      <c r="K40" s="91">
        <f t="shared" si="7"/>
        <v>0</v>
      </c>
      <c r="L40" s="92"/>
      <c r="M40" s="106" t="str">
        <f t="shared" si="3"/>
        <v/>
      </c>
      <c r="N40" s="122"/>
      <c r="O40" s="105">
        <f t="shared" si="8"/>
        <v>0</v>
      </c>
      <c r="P40" s="63">
        <f t="shared" si="9"/>
        <v>0</v>
      </c>
      <c r="Q40" s="90">
        <f t="shared" si="4"/>
        <v>1</v>
      </c>
      <c r="R40" s="111">
        <f t="shared" si="10"/>
        <v>0</v>
      </c>
      <c r="S40" s="92"/>
      <c r="T40" s="106" t="str">
        <f t="shared" si="5"/>
        <v/>
      </c>
      <c r="U40" s="126"/>
    </row>
    <row r="41" spans="1:21" s="22" customFormat="1" ht="26.45" customHeight="1" x14ac:dyDescent="0.2">
      <c r="A41" s="312">
        <v>39</v>
      </c>
      <c r="B41" s="306"/>
      <c r="C41" s="308"/>
      <c r="D41" s="308"/>
      <c r="E41" s="308"/>
      <c r="F41" s="309"/>
      <c r="G41" s="310">
        <f t="shared" si="6"/>
        <v>0</v>
      </c>
      <c r="H41" s="157">
        <f t="shared" si="0"/>
        <v>0</v>
      </c>
      <c r="I41" s="64">
        <f t="shared" si="1"/>
        <v>0</v>
      </c>
      <c r="J41" s="279">
        <f t="shared" si="2"/>
        <v>1</v>
      </c>
      <c r="K41" s="91">
        <f t="shared" si="7"/>
        <v>0</v>
      </c>
      <c r="L41" s="92"/>
      <c r="M41" s="106" t="str">
        <f t="shared" si="3"/>
        <v/>
      </c>
      <c r="N41" s="122"/>
      <c r="O41" s="105">
        <f t="shared" si="8"/>
        <v>0</v>
      </c>
      <c r="P41" s="63">
        <f t="shared" si="9"/>
        <v>0</v>
      </c>
      <c r="Q41" s="90">
        <f t="shared" si="4"/>
        <v>1</v>
      </c>
      <c r="R41" s="111">
        <f t="shared" si="10"/>
        <v>0</v>
      </c>
      <c r="S41" s="92"/>
      <c r="T41" s="106" t="str">
        <f t="shared" si="5"/>
        <v/>
      </c>
      <c r="U41" s="126"/>
    </row>
    <row r="42" spans="1:21" s="22" customFormat="1" ht="26.45" customHeight="1" x14ac:dyDescent="0.2">
      <c r="A42" s="312">
        <v>40</v>
      </c>
      <c r="B42" s="306"/>
      <c r="C42" s="308"/>
      <c r="D42" s="308"/>
      <c r="E42" s="308"/>
      <c r="F42" s="309"/>
      <c r="G42" s="310">
        <f t="shared" si="6"/>
        <v>0</v>
      </c>
      <c r="H42" s="157">
        <f t="shared" si="0"/>
        <v>0</v>
      </c>
      <c r="I42" s="64">
        <f t="shared" si="1"/>
        <v>0</v>
      </c>
      <c r="J42" s="279">
        <f t="shared" si="2"/>
        <v>1</v>
      </c>
      <c r="K42" s="91">
        <f t="shared" si="7"/>
        <v>0</v>
      </c>
      <c r="L42" s="92"/>
      <c r="M42" s="106" t="str">
        <f t="shared" si="3"/>
        <v/>
      </c>
      <c r="N42" s="122"/>
      <c r="O42" s="105">
        <f t="shared" si="8"/>
        <v>0</v>
      </c>
      <c r="P42" s="63">
        <f t="shared" si="9"/>
        <v>0</v>
      </c>
      <c r="Q42" s="90">
        <f t="shared" si="4"/>
        <v>1</v>
      </c>
      <c r="R42" s="111">
        <f t="shared" si="10"/>
        <v>0</v>
      </c>
      <c r="S42" s="92"/>
      <c r="T42" s="106" t="str">
        <f t="shared" si="5"/>
        <v/>
      </c>
      <c r="U42" s="126"/>
    </row>
    <row r="43" spans="1:21" s="22" customFormat="1" ht="25.5" customHeight="1" thickBot="1" x14ac:dyDescent="0.25">
      <c r="A43" s="472"/>
      <c r="B43" s="473" t="s">
        <v>4</v>
      </c>
      <c r="C43" s="474"/>
      <c r="D43" s="474"/>
      <c r="E43" s="474"/>
      <c r="F43" s="474"/>
      <c r="G43" s="475">
        <f>SUM(G3:G42)</f>
        <v>0</v>
      </c>
      <c r="H43" s="158"/>
      <c r="I43" s="107"/>
      <c r="J43" s="107"/>
      <c r="K43" s="107">
        <f>SUM(K3:K42)</f>
        <v>0</v>
      </c>
      <c r="L43" s="108"/>
      <c r="M43" s="109"/>
      <c r="N43" s="123"/>
      <c r="O43" s="113"/>
      <c r="P43" s="112"/>
      <c r="Q43" s="112"/>
      <c r="R43" s="112">
        <f>SUM(R3:R42)</f>
        <v>0</v>
      </c>
      <c r="S43" s="114"/>
      <c r="T43" s="115"/>
      <c r="U43" s="127"/>
    </row>
    <row r="45" spans="1:21" x14ac:dyDescent="0.2"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</row>
    <row r="46" spans="1:21" x14ac:dyDescent="0.2">
      <c r="M46" s="40"/>
      <c r="N46" s="39"/>
      <c r="T46" s="40"/>
    </row>
    <row r="47" spans="1:21" x14ac:dyDescent="0.2">
      <c r="N47" s="39"/>
    </row>
    <row r="48" spans="1:21" ht="30.2" customHeight="1" x14ac:dyDescent="0.2">
      <c r="A48" s="597" t="s">
        <v>101</v>
      </c>
      <c r="B48" s="597"/>
      <c r="L48" s="597" t="s">
        <v>99</v>
      </c>
      <c r="M48" s="597"/>
      <c r="S48" s="597" t="s">
        <v>99</v>
      </c>
      <c r="T48" s="597"/>
    </row>
    <row r="49" spans="1:20" ht="25.5" customHeight="1" x14ac:dyDescent="0.2">
      <c r="A49" s="83" t="s">
        <v>56</v>
      </c>
      <c r="B49" s="57" t="s">
        <v>13</v>
      </c>
      <c r="L49" s="56" t="s">
        <v>68</v>
      </c>
      <c r="M49" s="57" t="s">
        <v>69</v>
      </c>
      <c r="N49" s="39"/>
      <c r="S49" s="56" t="s">
        <v>68</v>
      </c>
      <c r="T49" s="57" t="s">
        <v>69</v>
      </c>
    </row>
    <row r="50" spans="1:20" ht="26.45" customHeight="1" x14ac:dyDescent="0.2">
      <c r="A50" s="58">
        <v>1</v>
      </c>
      <c r="B50" s="59" t="s">
        <v>57</v>
      </c>
      <c r="L50" s="58">
        <v>1</v>
      </c>
      <c r="M50" s="84" t="s">
        <v>66</v>
      </c>
      <c r="N50" s="39"/>
      <c r="S50" s="58">
        <v>1</v>
      </c>
      <c r="T50" s="84" t="s">
        <v>66</v>
      </c>
    </row>
    <row r="51" spans="1:20" ht="26.45" customHeight="1" x14ac:dyDescent="0.2">
      <c r="A51" s="58">
        <v>2</v>
      </c>
      <c r="B51" s="58" t="s">
        <v>58</v>
      </c>
      <c r="L51" s="58">
        <v>2</v>
      </c>
      <c r="M51" s="84" t="s">
        <v>65</v>
      </c>
      <c r="N51" s="39"/>
      <c r="S51" s="58">
        <v>2</v>
      </c>
      <c r="T51" s="84" t="s">
        <v>65</v>
      </c>
    </row>
    <row r="52" spans="1:20" ht="26.45" customHeight="1" x14ac:dyDescent="0.2">
      <c r="A52" s="58">
        <v>3</v>
      </c>
      <c r="B52" s="59" t="s">
        <v>59</v>
      </c>
      <c r="L52" s="58">
        <v>3</v>
      </c>
      <c r="M52" s="84" t="s">
        <v>64</v>
      </c>
      <c r="N52" s="39"/>
      <c r="S52" s="58">
        <v>3</v>
      </c>
      <c r="T52" s="84" t="s">
        <v>64</v>
      </c>
    </row>
    <row r="53" spans="1:20" ht="26.45" customHeight="1" x14ac:dyDescent="0.2">
      <c r="A53" s="58">
        <v>4</v>
      </c>
      <c r="B53" s="59" t="s">
        <v>60</v>
      </c>
      <c r="L53" s="58">
        <v>4</v>
      </c>
      <c r="M53" s="84" t="s">
        <v>67</v>
      </c>
      <c r="N53" s="39"/>
      <c r="S53" s="58">
        <v>4</v>
      </c>
      <c r="T53" s="84" t="s">
        <v>67</v>
      </c>
    </row>
    <row r="54" spans="1:20" ht="26.45" customHeight="1" x14ac:dyDescent="0.2">
      <c r="L54" s="58">
        <v>5</v>
      </c>
      <c r="M54" s="84" t="s">
        <v>103</v>
      </c>
      <c r="N54" s="39"/>
      <c r="S54" s="58">
        <v>5</v>
      </c>
      <c r="T54" s="84" t="s">
        <v>103</v>
      </c>
    </row>
    <row r="55" spans="1:20" ht="25.5" customHeight="1" x14ac:dyDescent="0.2">
      <c r="L55" s="58">
        <v>6</v>
      </c>
      <c r="M55" s="84" t="s">
        <v>20</v>
      </c>
      <c r="N55" s="39"/>
      <c r="S55" s="58">
        <v>6</v>
      </c>
      <c r="T55" s="84" t="s">
        <v>20</v>
      </c>
    </row>
    <row r="56" spans="1:20" x14ac:dyDescent="0.2">
      <c r="N56" s="39"/>
    </row>
    <row r="57" spans="1:20" x14ac:dyDescent="0.2">
      <c r="N57" s="39"/>
    </row>
    <row r="58" spans="1:20" x14ac:dyDescent="0.2">
      <c r="N58" s="39"/>
    </row>
    <row r="59" spans="1:20" x14ac:dyDescent="0.2">
      <c r="N59" s="39"/>
    </row>
    <row r="60" spans="1:20" x14ac:dyDescent="0.2">
      <c r="N60" s="39"/>
    </row>
    <row r="68" spans="1:1" x14ac:dyDescent="0.2">
      <c r="A68" s="460">
        <f>+'ראשי-פרטים כלליים וריכוז הוצאות'!C117</f>
        <v>1</v>
      </c>
    </row>
    <row r="69" spans="1:1" x14ac:dyDescent="0.2">
      <c r="A69">
        <f>VLOOKUP(+'ראשי-פרטים כלליים וריכוז הוצאות'!C117,'ראשי-פרטים כלליים וריכוז הוצאות'!$F$116:$L$130,3,0)</f>
        <v>1</v>
      </c>
    </row>
  </sheetData>
  <sheetProtection password="CAD0" sheet="1" objects="1" scenarios="1"/>
  <customSheetViews>
    <customSheetView guid="{0C0A7354-1E68-4AF0-8238-6CB67405E9AA}" showRuler="0">
      <selection activeCell="B10" sqref="B10"/>
      <pageMargins left="0.75" right="0.75" top="1" bottom="1" header="0.5" footer="0.5"/>
      <pageSetup paperSize="9" orientation="landscape" r:id="rId1"/>
      <headerFooter alignWithMargins="0"/>
    </customSheetView>
  </customSheetViews>
  <mergeCells count="8">
    <mergeCell ref="K1:L1"/>
    <mergeCell ref="S48:T48"/>
    <mergeCell ref="A48:B48"/>
    <mergeCell ref="L48:M48"/>
    <mergeCell ref="A1:C1"/>
    <mergeCell ref="R1:S1"/>
    <mergeCell ref="H1:J1"/>
    <mergeCell ref="O1:Q1"/>
  </mergeCells>
  <phoneticPr fontId="6" type="noConversion"/>
  <conditionalFormatting sqref="H3:I42">
    <cfRule type="cellIs" dxfId="59" priority="3" stopIfTrue="1" operator="notEqual">
      <formula>D3</formula>
    </cfRule>
  </conditionalFormatting>
  <conditionalFormatting sqref="O3:P42">
    <cfRule type="cellIs" dxfId="58" priority="4" stopIfTrue="1" operator="notEqual">
      <formula>H3</formula>
    </cfRule>
  </conditionalFormatting>
  <conditionalFormatting sqref="K3:K42">
    <cfRule type="cellIs" dxfId="57" priority="5" stopIfTrue="1" operator="notEqual">
      <formula>G3</formula>
    </cfRule>
  </conditionalFormatting>
  <conditionalFormatting sqref="J3:J42 Q3:Q42">
    <cfRule type="cellIs" dxfId="56" priority="6" stopIfTrue="1" operator="notEqual">
      <formula>1-$M$1</formula>
    </cfRule>
  </conditionalFormatting>
  <conditionalFormatting sqref="A68:A69">
    <cfRule type="expression" dxfId="55" priority="2" stopIfTrue="1">
      <formula>OR($A$68=1,$A$68=3,$A$68=5,$A$68=6)</formula>
    </cfRule>
  </conditionalFormatting>
  <conditionalFormatting sqref="A1:XFD1048576">
    <cfRule type="expression" dxfId="54" priority="1">
      <formula>$A$69=0</formula>
    </cfRule>
  </conditionalFormatting>
  <dataValidations xWindow="670" yWindow="257" count="5">
    <dataValidation type="decimal" allowBlank="1" showInputMessage="1" showErrorMessage="1" errorTitle="תא מחושב בנוסחה" error="תא זה מחושב בנוסחה:_x000a_ בידך לשנות את שלושת העמודות מימין וע&quot;י כך לקבוע את הסכום המומלץ._x000a__x000a_על מנת להחזיר המצב לקדמותו, נא הקישו על ביטול" promptTitle="תא מחושב בנוסחה" prompt="אין להקליד נתונים בעמודה זו" sqref="K3:K42">
      <formula1>H3*I3*J3</formula1>
      <formula2>H3*I3*J3</formula2>
    </dataValidation>
    <dataValidation type="list" allowBlank="1" showInputMessage="1" showErrorMessage="1" errorTitle="בודק מקצועי: נא בחר קוד נימוק" error="במידה והינך מעוניין בנימוק אחר, הקש חמש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קיצוץ אחיד_x000a_6.  אחר (נא פרט בעמודה משמאל)_x000a_" sqref="S3:S42 L3:L42">
      <formula1>$L$50:$L$55</formula1>
    </dataValidation>
    <dataValidation type="list" allowBlank="1" showErrorMessage="1" error="נא בחר קוד עלות :_x000a_הצעת מחיר, _x000a_חוזה, _x000a_ מחירון, _x000a_אמדן." promptTitle="בחר קוד עלות:" prompt="_x000a_  הצעת מחיר._x000a_ חוזה._x000a_ מחירון.   _x000a_ אמדן" sqref="F3:F42">
      <formula1>$B$50:$B$53</formula1>
    </dataValidation>
    <dataValidation type="decimal" allowBlank="1" showInputMessage="1" showErrorMessage="1" error="נא להזין הסכום בש&quot;ח באופן תקין" sqref="D3:D42">
      <formula1>0</formula1>
      <formula2>999999999</formula2>
    </dataValidation>
    <dataValidation type="whole" operator="greaterThan" allowBlank="1" showInputMessage="1" showErrorMessage="1" error="נא להזין את הכמות הנדרשת באופן תקין וביחידות שלמות." sqref="E3:E42">
      <formula1>0</formula1>
    </dataValidation>
  </dataValidations>
  <printOptions horizontalCentered="1" verticalCentered="1"/>
  <pageMargins left="0.31496062992125984" right="0.15748031496062992" top="0.39370078740157483" bottom="0.47244094488188981" header="0.31496062992125984" footer="0.23622047244094491"/>
  <pageSetup paperSize="9" scale="31" orientation="portrait" r:id="rId2"/>
  <headerFooter alignWithMargins="0">
    <oddFooter>עמוד &amp;P מתוך &amp;N</oddFooter>
  </headerFooter>
  <cellWatches>
    <cellWatch r="C12"/>
  </cellWatches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4">
    <tabColor indexed="42"/>
    <pageSetUpPr fitToPage="1"/>
  </sheetPr>
  <dimension ref="A1:Y69"/>
  <sheetViews>
    <sheetView rightToLeft="1"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9" sqref="C9"/>
    </sheetView>
  </sheetViews>
  <sheetFormatPr defaultColWidth="9.140625" defaultRowHeight="12.75" outlineLevelCol="1" x14ac:dyDescent="0.2"/>
  <cols>
    <col min="1" max="1" width="5.85546875" style="27" bestFit="1" customWidth="1"/>
    <col min="2" max="2" width="25" style="27" customWidth="1"/>
    <col min="3" max="3" width="24.7109375" style="27" customWidth="1"/>
    <col min="4" max="4" width="8.5703125" style="27" customWidth="1"/>
    <col min="5" max="5" width="12.7109375" style="27" customWidth="1"/>
    <col min="6" max="6" width="10.5703125" style="27" customWidth="1"/>
    <col min="7" max="7" width="9.42578125" style="27" customWidth="1"/>
    <col min="8" max="8" width="14.85546875" style="27" customWidth="1"/>
    <col min="9" max="9" width="12" style="27" customWidth="1"/>
    <col min="10" max="10" width="12" style="27" hidden="1" customWidth="1" outlineLevel="1"/>
    <col min="11" max="11" width="17.28515625" style="27" hidden="1" customWidth="1" outlineLevel="1"/>
    <col min="12" max="12" width="13.28515625" style="27" hidden="1" customWidth="1" outlineLevel="1"/>
    <col min="13" max="13" width="23.42578125" style="27" hidden="1" customWidth="1" outlineLevel="1"/>
    <col min="14" max="14" width="13.5703125" style="27" hidden="1" customWidth="1" outlineLevel="1"/>
    <col min="15" max="15" width="10.140625" style="27" hidden="1" customWidth="1" outlineLevel="1"/>
    <col min="16" max="16" width="7.5703125" style="27" customWidth="1" collapsed="1"/>
    <col min="17" max="17" width="15.28515625" style="27" hidden="1" customWidth="1" outlineLevel="1"/>
    <col min="18" max="18" width="14" style="27" hidden="1" customWidth="1" outlineLevel="1"/>
    <col min="19" max="20" width="23.42578125" style="27" hidden="1" customWidth="1" outlineLevel="1"/>
    <col min="21" max="21" width="13.7109375" style="27" hidden="1" customWidth="1" outlineLevel="1"/>
    <col min="22" max="22" width="21" style="27" hidden="1" customWidth="1" outlineLevel="1"/>
    <col min="23" max="23" width="8" style="27" customWidth="1" collapsed="1"/>
    <col min="24" max="24" width="9.140625" style="27"/>
    <col min="25" max="25" width="9.140625" style="367"/>
    <col min="26" max="31" width="9.140625" style="27"/>
    <col min="32" max="32" width="9.28515625" style="27" customWidth="1"/>
    <col min="33" max="16384" width="9.140625" style="27"/>
  </cols>
  <sheetData>
    <row r="1" spans="1:25" s="85" customFormat="1" ht="42.75" customHeight="1" thickBot="1" x14ac:dyDescent="0.3">
      <c r="A1" s="614" t="s">
        <v>118</v>
      </c>
      <c r="B1" s="599"/>
      <c r="C1" s="599"/>
      <c r="D1" s="69"/>
      <c r="E1" s="69"/>
      <c r="F1" s="33" t="s">
        <v>32</v>
      </c>
      <c r="G1" s="33"/>
      <c r="H1" s="102">
        <f>'ראשי-פרטים כלליים וריכוז הוצאות'!F5</f>
        <v>0</v>
      </c>
      <c r="I1" s="130"/>
      <c r="J1" s="608" t="s">
        <v>136</v>
      </c>
      <c r="K1" s="609"/>
      <c r="L1" s="610"/>
      <c r="M1" s="595" t="s">
        <v>149</v>
      </c>
      <c r="N1" s="596"/>
      <c r="O1" s="268">
        <v>0</v>
      </c>
      <c r="P1" s="128" t="s">
        <v>72</v>
      </c>
      <c r="Q1" s="605" t="s">
        <v>246</v>
      </c>
      <c r="R1" s="607"/>
      <c r="S1" s="600" t="s">
        <v>104</v>
      </c>
      <c r="T1" s="613"/>
      <c r="U1" s="601"/>
      <c r="V1" s="268">
        <v>0</v>
      </c>
      <c r="W1" s="129" t="s">
        <v>221</v>
      </c>
      <c r="Y1" s="367"/>
    </row>
    <row r="2" spans="1:25" ht="64.900000000000006" customHeight="1" x14ac:dyDescent="0.2">
      <c r="A2" s="35" t="s">
        <v>76</v>
      </c>
      <c r="B2" s="35" t="s">
        <v>74</v>
      </c>
      <c r="C2" s="35" t="s">
        <v>75</v>
      </c>
      <c r="D2" s="35" t="str">
        <f>IF(A68=5,B66,B67)</f>
        <v>קב"מ בארץ או בחו"ל</v>
      </c>
      <c r="E2" s="35" t="s">
        <v>209</v>
      </c>
      <c r="F2" s="35" t="s">
        <v>61</v>
      </c>
      <c r="G2" s="35" t="s">
        <v>193</v>
      </c>
      <c r="H2" s="35" t="s">
        <v>100</v>
      </c>
      <c r="I2" s="140" t="s">
        <v>63</v>
      </c>
      <c r="J2" s="370" t="s">
        <v>62</v>
      </c>
      <c r="K2" s="370" t="s">
        <v>191</v>
      </c>
      <c r="L2" s="371" t="s">
        <v>73</v>
      </c>
      <c r="M2" s="68" t="s">
        <v>71</v>
      </c>
      <c r="N2" s="68" t="s">
        <v>152</v>
      </c>
      <c r="O2" s="174" t="s">
        <v>24</v>
      </c>
      <c r="P2" s="121"/>
      <c r="Q2" s="176" t="s">
        <v>192</v>
      </c>
      <c r="R2" s="110" t="s">
        <v>73</v>
      </c>
      <c r="S2" s="110" t="s">
        <v>102</v>
      </c>
      <c r="T2" s="110" t="s">
        <v>130</v>
      </c>
      <c r="U2" s="110" t="s">
        <v>98</v>
      </c>
      <c r="V2" s="170" t="s">
        <v>24</v>
      </c>
      <c r="W2" s="125"/>
    </row>
    <row r="3" spans="1:25" s="87" customFormat="1" ht="24" customHeight="1" x14ac:dyDescent="0.2">
      <c r="A3" s="312">
        <v>1</v>
      </c>
      <c r="B3" s="306"/>
      <c r="C3" s="450"/>
      <c r="D3" s="314"/>
      <c r="E3" s="313"/>
      <c r="F3" s="308"/>
      <c r="G3" s="366"/>
      <c r="H3" s="309"/>
      <c r="I3" s="310">
        <f>IF(D3&gt;0,F3*G3,0)</f>
        <v>0</v>
      </c>
      <c r="J3" s="105">
        <f t="shared" ref="J3:J11" si="0">+G3</f>
        <v>0</v>
      </c>
      <c r="K3" s="105">
        <f t="shared" ref="K3:K11" si="1">+J3*F3</f>
        <v>0</v>
      </c>
      <c r="L3" s="279">
        <f t="shared" ref="L3:L42" si="2">IF($O$1&gt;0,1-$O$1,100%)</f>
        <v>1</v>
      </c>
      <c r="M3" s="91">
        <f>K3*L3</f>
        <v>0</v>
      </c>
      <c r="N3" s="92"/>
      <c r="O3" s="171" t="str">
        <f t="shared" ref="O3:O42" si="3">IF(N3&gt;0,(VLOOKUP(N3,$N$50:$O$55,2,0)),"")</f>
        <v/>
      </c>
      <c r="P3" s="122"/>
      <c r="Q3" s="157">
        <f t="shared" ref="Q3:Q43" si="4">K3</f>
        <v>0</v>
      </c>
      <c r="R3" s="90">
        <f t="shared" ref="R3:R42" si="5">IF($V$1&gt;0,((1-$V$1)*(1-$O$1)),L3)</f>
        <v>1</v>
      </c>
      <c r="S3" s="111">
        <f>Q3*R3</f>
        <v>0</v>
      </c>
      <c r="T3" s="266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המרכז",IF(S3=0,"",(IF(S3/'ראשי-פרטים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" s="92"/>
      <c r="V3" s="171" t="str">
        <f>IF(U3&gt;0,(VLOOKUP(U3,$U$50:$V$55,2,0)),"")</f>
        <v/>
      </c>
      <c r="W3" s="126"/>
      <c r="Y3" s="368">
        <f>IF(AND(G3&lt;&gt;1,E3="קבוע"),1,0)</f>
        <v>0</v>
      </c>
    </row>
    <row r="4" spans="1:25" s="87" customFormat="1" ht="24" customHeight="1" x14ac:dyDescent="0.2">
      <c r="A4" s="312">
        <v>2</v>
      </c>
      <c r="B4" s="306"/>
      <c r="C4" s="313"/>
      <c r="D4" s="314"/>
      <c r="E4" s="313"/>
      <c r="F4" s="308"/>
      <c r="G4" s="366"/>
      <c r="H4" s="309"/>
      <c r="I4" s="310">
        <f>IF(D4&gt;0,F4*G4,0)</f>
        <v>0</v>
      </c>
      <c r="J4" s="105">
        <f t="shared" si="0"/>
        <v>0</v>
      </c>
      <c r="K4" s="105">
        <f t="shared" si="1"/>
        <v>0</v>
      </c>
      <c r="L4" s="279">
        <f t="shared" si="2"/>
        <v>1</v>
      </c>
      <c r="M4" s="91">
        <f t="shared" ref="M4:M42" si="6">K4*L4</f>
        <v>0</v>
      </c>
      <c r="N4" s="92"/>
      <c r="O4" s="171" t="str">
        <f t="shared" si="3"/>
        <v/>
      </c>
      <c r="P4" s="122"/>
      <c r="Q4" s="157">
        <f t="shared" si="4"/>
        <v>0</v>
      </c>
      <c r="R4" s="90">
        <f t="shared" si="5"/>
        <v>1</v>
      </c>
      <c r="S4" s="111">
        <f t="shared" ref="S4:S42" si="7">Q4*R4</f>
        <v>0</v>
      </c>
      <c r="T4" s="266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המרכז",IF(S4=0,"",(IF(S4/'ראשי-פרטים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4" s="92"/>
      <c r="V4" s="171" t="str">
        <f t="shared" ref="V4:V42" si="8">IF(U4&gt;0,(VLOOKUP(U4,$U$50:$V$55,2,0)),"")</f>
        <v/>
      </c>
      <c r="W4" s="126"/>
      <c r="Y4" s="368">
        <f t="shared" ref="Y4:Y42" si="9">IF(AND(G4&lt;&gt;1,E4="קבוע"),1,0)</f>
        <v>0</v>
      </c>
    </row>
    <row r="5" spans="1:25" s="87" customFormat="1" ht="24" customHeight="1" x14ac:dyDescent="0.2">
      <c r="A5" s="312">
        <v>3</v>
      </c>
      <c r="B5" s="306"/>
      <c r="C5" s="314"/>
      <c r="D5" s="314"/>
      <c r="E5" s="313"/>
      <c r="F5" s="308"/>
      <c r="G5" s="366"/>
      <c r="H5" s="309"/>
      <c r="I5" s="310">
        <f t="shared" ref="I5:I42" si="10">IF(D5&gt;0,F5*G5,0)</f>
        <v>0</v>
      </c>
      <c r="J5" s="105">
        <f t="shared" si="0"/>
        <v>0</v>
      </c>
      <c r="K5" s="105">
        <f t="shared" si="1"/>
        <v>0</v>
      </c>
      <c r="L5" s="279">
        <f t="shared" si="2"/>
        <v>1</v>
      </c>
      <c r="M5" s="91">
        <f t="shared" si="6"/>
        <v>0</v>
      </c>
      <c r="N5" s="92"/>
      <c r="O5" s="171" t="str">
        <f t="shared" si="3"/>
        <v/>
      </c>
      <c r="P5" s="122"/>
      <c r="Q5" s="157">
        <f t="shared" si="4"/>
        <v>0</v>
      </c>
      <c r="R5" s="90">
        <f t="shared" si="5"/>
        <v>1</v>
      </c>
      <c r="S5" s="111">
        <f t="shared" si="7"/>
        <v>0</v>
      </c>
      <c r="T5" s="266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המרכז",IF(S5=0,"",(IF(S5/'ראשי-פרטים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5" s="92"/>
      <c r="V5" s="171" t="str">
        <f t="shared" si="8"/>
        <v/>
      </c>
      <c r="W5" s="126"/>
      <c r="Y5" s="368">
        <f t="shared" si="9"/>
        <v>0</v>
      </c>
    </row>
    <row r="6" spans="1:25" s="87" customFormat="1" ht="24" customHeight="1" x14ac:dyDescent="0.2">
      <c r="A6" s="312">
        <v>4</v>
      </c>
      <c r="B6" s="306"/>
      <c r="C6" s="314"/>
      <c r="D6" s="314"/>
      <c r="E6" s="313"/>
      <c r="F6" s="308"/>
      <c r="G6" s="366">
        <f t="shared" ref="G6:G42" si="11">IF(E6="מחיר קבוע",1,)</f>
        <v>0</v>
      </c>
      <c r="H6" s="309"/>
      <c r="I6" s="310">
        <f t="shared" si="10"/>
        <v>0</v>
      </c>
      <c r="J6" s="105">
        <f t="shared" si="0"/>
        <v>0</v>
      </c>
      <c r="K6" s="105">
        <f t="shared" si="1"/>
        <v>0</v>
      </c>
      <c r="L6" s="279">
        <f t="shared" si="2"/>
        <v>1</v>
      </c>
      <c r="M6" s="91">
        <f t="shared" si="6"/>
        <v>0</v>
      </c>
      <c r="N6" s="92"/>
      <c r="O6" s="171" t="str">
        <f t="shared" si="3"/>
        <v/>
      </c>
      <c r="P6" s="122"/>
      <c r="Q6" s="157">
        <f t="shared" si="4"/>
        <v>0</v>
      </c>
      <c r="R6" s="90">
        <f t="shared" si="5"/>
        <v>1</v>
      </c>
      <c r="S6" s="111">
        <f t="shared" si="7"/>
        <v>0</v>
      </c>
      <c r="T6" s="266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המרכז",IF(S6=0,"",(IF(S6/'ראשי-פרטים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6" s="92"/>
      <c r="V6" s="171" t="str">
        <f t="shared" si="8"/>
        <v/>
      </c>
      <c r="W6" s="126"/>
      <c r="Y6" s="368">
        <f t="shared" si="9"/>
        <v>0</v>
      </c>
    </row>
    <row r="7" spans="1:25" s="87" customFormat="1" ht="24" customHeight="1" x14ac:dyDescent="0.2">
      <c r="A7" s="312">
        <v>5</v>
      </c>
      <c r="B7" s="306"/>
      <c r="C7" s="314"/>
      <c r="D7" s="314"/>
      <c r="E7" s="313"/>
      <c r="F7" s="308"/>
      <c r="G7" s="366">
        <f t="shared" si="11"/>
        <v>0</v>
      </c>
      <c r="H7" s="309"/>
      <c r="I7" s="310">
        <f t="shared" si="10"/>
        <v>0</v>
      </c>
      <c r="J7" s="105">
        <f t="shared" si="0"/>
        <v>0</v>
      </c>
      <c r="K7" s="105">
        <f t="shared" si="1"/>
        <v>0</v>
      </c>
      <c r="L7" s="279">
        <f t="shared" si="2"/>
        <v>1</v>
      </c>
      <c r="M7" s="91">
        <f t="shared" si="6"/>
        <v>0</v>
      </c>
      <c r="N7" s="92"/>
      <c r="O7" s="171" t="str">
        <f t="shared" si="3"/>
        <v/>
      </c>
      <c r="P7" s="122"/>
      <c r="Q7" s="157">
        <f t="shared" si="4"/>
        <v>0</v>
      </c>
      <c r="R7" s="90">
        <f t="shared" si="5"/>
        <v>1</v>
      </c>
      <c r="S7" s="111">
        <f t="shared" si="7"/>
        <v>0</v>
      </c>
      <c r="T7" s="266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המרכז",IF(S7=0,"",(IF(S7/'ראשי-פרטים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7" s="92"/>
      <c r="V7" s="171" t="str">
        <f t="shared" si="8"/>
        <v/>
      </c>
      <c r="W7" s="126"/>
      <c r="Y7" s="368">
        <f t="shared" si="9"/>
        <v>0</v>
      </c>
    </row>
    <row r="8" spans="1:25" s="87" customFormat="1" ht="24" customHeight="1" x14ac:dyDescent="0.2">
      <c r="A8" s="312">
        <v>6</v>
      </c>
      <c r="B8" s="306"/>
      <c r="C8" s="314"/>
      <c r="D8" s="314"/>
      <c r="E8" s="313"/>
      <c r="F8" s="308"/>
      <c r="G8" s="366">
        <f t="shared" si="11"/>
        <v>0</v>
      </c>
      <c r="H8" s="309"/>
      <c r="I8" s="310">
        <f t="shared" si="10"/>
        <v>0</v>
      </c>
      <c r="J8" s="105">
        <f t="shared" si="0"/>
        <v>0</v>
      </c>
      <c r="K8" s="105">
        <f t="shared" si="1"/>
        <v>0</v>
      </c>
      <c r="L8" s="279">
        <f t="shared" si="2"/>
        <v>1</v>
      </c>
      <c r="M8" s="91">
        <f t="shared" si="6"/>
        <v>0</v>
      </c>
      <c r="N8" s="92"/>
      <c r="O8" s="171" t="str">
        <f t="shared" si="3"/>
        <v/>
      </c>
      <c r="P8" s="122"/>
      <c r="Q8" s="157">
        <f t="shared" si="4"/>
        <v>0</v>
      </c>
      <c r="R8" s="90">
        <f t="shared" si="5"/>
        <v>1</v>
      </c>
      <c r="S8" s="111">
        <f t="shared" si="7"/>
        <v>0</v>
      </c>
      <c r="T8" s="266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המרכז",IF(S8=0,"",(IF(S8/'ראשי-פרטים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8" s="92"/>
      <c r="V8" s="171" t="str">
        <f t="shared" si="8"/>
        <v/>
      </c>
      <c r="W8" s="126"/>
      <c r="Y8" s="368">
        <f t="shared" si="9"/>
        <v>0</v>
      </c>
    </row>
    <row r="9" spans="1:25" s="87" customFormat="1" ht="24" customHeight="1" x14ac:dyDescent="0.2">
      <c r="A9" s="312">
        <v>7</v>
      </c>
      <c r="B9" s="306"/>
      <c r="C9" s="314"/>
      <c r="D9" s="314"/>
      <c r="E9" s="313"/>
      <c r="F9" s="308"/>
      <c r="G9" s="366">
        <f t="shared" si="11"/>
        <v>0</v>
      </c>
      <c r="H9" s="309"/>
      <c r="I9" s="310">
        <f t="shared" si="10"/>
        <v>0</v>
      </c>
      <c r="J9" s="105">
        <f t="shared" si="0"/>
        <v>0</v>
      </c>
      <c r="K9" s="105">
        <f t="shared" si="1"/>
        <v>0</v>
      </c>
      <c r="L9" s="279">
        <f t="shared" si="2"/>
        <v>1</v>
      </c>
      <c r="M9" s="91">
        <f t="shared" si="6"/>
        <v>0</v>
      </c>
      <c r="N9" s="92"/>
      <c r="O9" s="171" t="str">
        <f t="shared" si="3"/>
        <v/>
      </c>
      <c r="P9" s="122"/>
      <c r="Q9" s="157">
        <f t="shared" si="4"/>
        <v>0</v>
      </c>
      <c r="R9" s="90">
        <f t="shared" si="5"/>
        <v>1</v>
      </c>
      <c r="S9" s="111">
        <f t="shared" si="7"/>
        <v>0</v>
      </c>
      <c r="T9" s="266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המרכז",IF(S9=0,"",(IF(S9/'ראשי-פרטים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9" s="92"/>
      <c r="V9" s="171" t="str">
        <f t="shared" si="8"/>
        <v/>
      </c>
      <c r="W9" s="126"/>
      <c r="Y9" s="368">
        <f t="shared" si="9"/>
        <v>0</v>
      </c>
    </row>
    <row r="10" spans="1:25" s="87" customFormat="1" ht="24" customHeight="1" x14ac:dyDescent="0.2">
      <c r="A10" s="312">
        <v>8</v>
      </c>
      <c r="B10" s="306"/>
      <c r="C10" s="314"/>
      <c r="D10" s="314"/>
      <c r="E10" s="313"/>
      <c r="F10" s="308"/>
      <c r="G10" s="366">
        <f t="shared" si="11"/>
        <v>0</v>
      </c>
      <c r="H10" s="309"/>
      <c r="I10" s="310">
        <f t="shared" si="10"/>
        <v>0</v>
      </c>
      <c r="J10" s="105">
        <f t="shared" si="0"/>
        <v>0</v>
      </c>
      <c r="K10" s="105">
        <f t="shared" si="1"/>
        <v>0</v>
      </c>
      <c r="L10" s="279">
        <f t="shared" si="2"/>
        <v>1</v>
      </c>
      <c r="M10" s="91">
        <f t="shared" si="6"/>
        <v>0</v>
      </c>
      <c r="N10" s="92"/>
      <c r="O10" s="171" t="str">
        <f t="shared" si="3"/>
        <v/>
      </c>
      <c r="P10" s="122"/>
      <c r="Q10" s="157">
        <f t="shared" si="4"/>
        <v>0</v>
      </c>
      <c r="R10" s="90">
        <f t="shared" si="5"/>
        <v>1</v>
      </c>
      <c r="S10" s="111">
        <f t="shared" si="7"/>
        <v>0</v>
      </c>
      <c r="T10" s="266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המרכז",IF(S10=0,"",(IF(S10/'ראשי-פרטים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10" s="92"/>
      <c r="V10" s="171" t="str">
        <f t="shared" si="8"/>
        <v/>
      </c>
      <c r="W10" s="126"/>
      <c r="Y10" s="368">
        <f t="shared" si="9"/>
        <v>0</v>
      </c>
    </row>
    <row r="11" spans="1:25" s="87" customFormat="1" ht="24" customHeight="1" x14ac:dyDescent="0.2">
      <c r="A11" s="312">
        <v>9</v>
      </c>
      <c r="B11" s="306"/>
      <c r="C11" s="314"/>
      <c r="D11" s="314"/>
      <c r="E11" s="313"/>
      <c r="F11" s="308"/>
      <c r="G11" s="366">
        <f t="shared" si="11"/>
        <v>0</v>
      </c>
      <c r="H11" s="309"/>
      <c r="I11" s="310">
        <f t="shared" si="10"/>
        <v>0</v>
      </c>
      <c r="J11" s="105">
        <f t="shared" si="0"/>
        <v>0</v>
      </c>
      <c r="K11" s="105">
        <f t="shared" si="1"/>
        <v>0</v>
      </c>
      <c r="L11" s="279">
        <f t="shared" si="2"/>
        <v>1</v>
      </c>
      <c r="M11" s="91">
        <f t="shared" si="6"/>
        <v>0</v>
      </c>
      <c r="N11" s="92"/>
      <c r="O11" s="171" t="str">
        <f t="shared" si="3"/>
        <v/>
      </c>
      <c r="P11" s="122"/>
      <c r="Q11" s="157">
        <f t="shared" si="4"/>
        <v>0</v>
      </c>
      <c r="R11" s="90">
        <f t="shared" si="5"/>
        <v>1</v>
      </c>
      <c r="S11" s="111">
        <f t="shared" si="7"/>
        <v>0</v>
      </c>
      <c r="T11" s="266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המרכז",IF(S11=0,"",(IF(S11/'ראשי-פרטים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11" s="92"/>
      <c r="V11" s="171" t="str">
        <f t="shared" si="8"/>
        <v/>
      </c>
      <c r="W11" s="126"/>
      <c r="Y11" s="368">
        <f t="shared" si="9"/>
        <v>0</v>
      </c>
    </row>
    <row r="12" spans="1:25" s="87" customFormat="1" ht="24" customHeight="1" x14ac:dyDescent="0.2">
      <c r="A12" s="312">
        <v>10</v>
      </c>
      <c r="B12" s="306"/>
      <c r="C12" s="314"/>
      <c r="D12" s="314"/>
      <c r="E12" s="313"/>
      <c r="F12" s="308"/>
      <c r="G12" s="366">
        <f t="shared" si="11"/>
        <v>0</v>
      </c>
      <c r="H12" s="309"/>
      <c r="I12" s="310">
        <f t="shared" si="10"/>
        <v>0</v>
      </c>
      <c r="J12" s="105">
        <f>+G12</f>
        <v>0</v>
      </c>
      <c r="K12" s="105">
        <f>+J12*F12</f>
        <v>0</v>
      </c>
      <c r="L12" s="279">
        <f t="shared" si="2"/>
        <v>1</v>
      </c>
      <c r="M12" s="91">
        <f t="shared" si="6"/>
        <v>0</v>
      </c>
      <c r="N12" s="92"/>
      <c r="O12" s="171" t="str">
        <f t="shared" si="3"/>
        <v/>
      </c>
      <c r="P12" s="122"/>
      <c r="Q12" s="157">
        <f t="shared" si="4"/>
        <v>0</v>
      </c>
      <c r="R12" s="90">
        <f t="shared" si="5"/>
        <v>1</v>
      </c>
      <c r="S12" s="111">
        <f t="shared" si="7"/>
        <v>0</v>
      </c>
      <c r="T12" s="266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המרכז",IF(S12=0,"",(IF(S12/'ראשי-פרטים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12" s="92"/>
      <c r="V12" s="171" t="str">
        <f t="shared" si="8"/>
        <v/>
      </c>
      <c r="W12" s="126"/>
      <c r="Y12" s="368">
        <f t="shared" si="9"/>
        <v>0</v>
      </c>
    </row>
    <row r="13" spans="1:25" s="87" customFormat="1" ht="24" customHeight="1" x14ac:dyDescent="0.2">
      <c r="A13" s="312">
        <v>11</v>
      </c>
      <c r="B13" s="306"/>
      <c r="C13" s="314"/>
      <c r="D13" s="314"/>
      <c r="E13" s="313"/>
      <c r="F13" s="308"/>
      <c r="G13" s="366">
        <f t="shared" si="11"/>
        <v>0</v>
      </c>
      <c r="H13" s="309"/>
      <c r="I13" s="310">
        <f t="shared" si="10"/>
        <v>0</v>
      </c>
      <c r="J13" s="105">
        <f t="shared" ref="J13:J42" si="12">+G13</f>
        <v>0</v>
      </c>
      <c r="K13" s="105">
        <f t="shared" ref="K13:K42" si="13">+J13*F13</f>
        <v>0</v>
      </c>
      <c r="L13" s="279">
        <f t="shared" si="2"/>
        <v>1</v>
      </c>
      <c r="M13" s="91">
        <f t="shared" si="6"/>
        <v>0</v>
      </c>
      <c r="N13" s="92"/>
      <c r="O13" s="171" t="str">
        <f t="shared" si="3"/>
        <v/>
      </c>
      <c r="P13" s="122"/>
      <c r="Q13" s="157">
        <f t="shared" si="4"/>
        <v>0</v>
      </c>
      <c r="R13" s="90">
        <f t="shared" si="5"/>
        <v>1</v>
      </c>
      <c r="S13" s="111">
        <f t="shared" si="7"/>
        <v>0</v>
      </c>
      <c r="T13" s="266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המרכז",IF(S13=0,"",(IF(S13/'ראשי-פרטים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13" s="92"/>
      <c r="V13" s="171" t="str">
        <f t="shared" si="8"/>
        <v/>
      </c>
      <c r="W13" s="126"/>
      <c r="Y13" s="368">
        <f t="shared" si="9"/>
        <v>0</v>
      </c>
    </row>
    <row r="14" spans="1:25" s="87" customFormat="1" ht="24" customHeight="1" x14ac:dyDescent="0.2">
      <c r="A14" s="312">
        <v>12</v>
      </c>
      <c r="B14" s="306"/>
      <c r="C14" s="314"/>
      <c r="D14" s="314"/>
      <c r="E14" s="313"/>
      <c r="F14" s="308"/>
      <c r="G14" s="366">
        <f t="shared" si="11"/>
        <v>0</v>
      </c>
      <c r="H14" s="309"/>
      <c r="I14" s="310">
        <f t="shared" si="10"/>
        <v>0</v>
      </c>
      <c r="J14" s="105">
        <f t="shared" si="12"/>
        <v>0</v>
      </c>
      <c r="K14" s="105">
        <f t="shared" si="13"/>
        <v>0</v>
      </c>
      <c r="L14" s="279">
        <f t="shared" si="2"/>
        <v>1</v>
      </c>
      <c r="M14" s="91">
        <f t="shared" si="6"/>
        <v>0</v>
      </c>
      <c r="N14" s="92"/>
      <c r="O14" s="171" t="str">
        <f t="shared" si="3"/>
        <v/>
      </c>
      <c r="P14" s="122"/>
      <c r="Q14" s="157">
        <f t="shared" si="4"/>
        <v>0</v>
      </c>
      <c r="R14" s="90">
        <f t="shared" si="5"/>
        <v>1</v>
      </c>
      <c r="S14" s="111">
        <f t="shared" si="7"/>
        <v>0</v>
      </c>
      <c r="T14" s="266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המרכז",IF(S14=0,"",(IF(S14/'ראשי-פרטים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14" s="92"/>
      <c r="V14" s="171" t="str">
        <f t="shared" si="8"/>
        <v/>
      </c>
      <c r="W14" s="126"/>
      <c r="Y14" s="368">
        <f t="shared" si="9"/>
        <v>0</v>
      </c>
    </row>
    <row r="15" spans="1:25" s="87" customFormat="1" ht="24" customHeight="1" x14ac:dyDescent="0.2">
      <c r="A15" s="312">
        <v>13</v>
      </c>
      <c r="B15" s="306"/>
      <c r="C15" s="314"/>
      <c r="D15" s="314"/>
      <c r="E15" s="313"/>
      <c r="F15" s="308"/>
      <c r="G15" s="366">
        <f t="shared" si="11"/>
        <v>0</v>
      </c>
      <c r="H15" s="309"/>
      <c r="I15" s="310">
        <f t="shared" si="10"/>
        <v>0</v>
      </c>
      <c r="J15" s="105">
        <f t="shared" si="12"/>
        <v>0</v>
      </c>
      <c r="K15" s="105">
        <f t="shared" si="13"/>
        <v>0</v>
      </c>
      <c r="L15" s="279">
        <f t="shared" si="2"/>
        <v>1</v>
      </c>
      <c r="M15" s="91">
        <f t="shared" si="6"/>
        <v>0</v>
      </c>
      <c r="N15" s="92"/>
      <c r="O15" s="171" t="str">
        <f t="shared" si="3"/>
        <v/>
      </c>
      <c r="P15" s="122"/>
      <c r="Q15" s="157">
        <f t="shared" si="4"/>
        <v>0</v>
      </c>
      <c r="R15" s="90">
        <f t="shared" si="5"/>
        <v>1</v>
      </c>
      <c r="S15" s="111">
        <f t="shared" si="7"/>
        <v>0</v>
      </c>
      <c r="T15" s="266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המרכז",IF(S15=0,"",(IF(S15/'ראשי-פרטים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15" s="92"/>
      <c r="V15" s="171" t="str">
        <f t="shared" si="8"/>
        <v/>
      </c>
      <c r="W15" s="126"/>
      <c r="Y15" s="368">
        <f t="shared" si="9"/>
        <v>0</v>
      </c>
    </row>
    <row r="16" spans="1:25" s="87" customFormat="1" ht="24" customHeight="1" x14ac:dyDescent="0.2">
      <c r="A16" s="312">
        <v>14</v>
      </c>
      <c r="B16" s="306"/>
      <c r="C16" s="314"/>
      <c r="D16" s="314"/>
      <c r="E16" s="313"/>
      <c r="F16" s="308"/>
      <c r="G16" s="366">
        <f t="shared" si="11"/>
        <v>0</v>
      </c>
      <c r="H16" s="309"/>
      <c r="I16" s="310">
        <f t="shared" si="10"/>
        <v>0</v>
      </c>
      <c r="J16" s="105">
        <f t="shared" si="12"/>
        <v>0</v>
      </c>
      <c r="K16" s="105">
        <f t="shared" si="13"/>
        <v>0</v>
      </c>
      <c r="L16" s="279">
        <f t="shared" si="2"/>
        <v>1</v>
      </c>
      <c r="M16" s="91">
        <f t="shared" si="6"/>
        <v>0</v>
      </c>
      <c r="N16" s="92"/>
      <c r="O16" s="171" t="str">
        <f t="shared" si="3"/>
        <v/>
      </c>
      <c r="P16" s="122"/>
      <c r="Q16" s="157">
        <f t="shared" si="4"/>
        <v>0</v>
      </c>
      <c r="R16" s="90">
        <f t="shared" si="5"/>
        <v>1</v>
      </c>
      <c r="S16" s="111">
        <f t="shared" si="7"/>
        <v>0</v>
      </c>
      <c r="T16" s="266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המרכז",IF(S16=0,"",(IF(S16/'ראשי-פרטים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16" s="92"/>
      <c r="V16" s="171" t="str">
        <f t="shared" si="8"/>
        <v/>
      </c>
      <c r="W16" s="126"/>
      <c r="Y16" s="368">
        <f t="shared" si="9"/>
        <v>0</v>
      </c>
    </row>
    <row r="17" spans="1:25" s="87" customFormat="1" ht="24" customHeight="1" x14ac:dyDescent="0.2">
      <c r="A17" s="312">
        <v>15</v>
      </c>
      <c r="B17" s="306"/>
      <c r="C17" s="314"/>
      <c r="D17" s="314"/>
      <c r="E17" s="313"/>
      <c r="F17" s="308"/>
      <c r="G17" s="366">
        <f t="shared" si="11"/>
        <v>0</v>
      </c>
      <c r="H17" s="309"/>
      <c r="I17" s="310">
        <f t="shared" si="10"/>
        <v>0</v>
      </c>
      <c r="J17" s="105">
        <f t="shared" si="12"/>
        <v>0</v>
      </c>
      <c r="K17" s="105">
        <f t="shared" si="13"/>
        <v>0</v>
      </c>
      <c r="L17" s="279">
        <f t="shared" si="2"/>
        <v>1</v>
      </c>
      <c r="M17" s="91">
        <f t="shared" si="6"/>
        <v>0</v>
      </c>
      <c r="N17" s="92"/>
      <c r="O17" s="171" t="str">
        <f t="shared" si="3"/>
        <v/>
      </c>
      <c r="P17" s="122"/>
      <c r="Q17" s="157">
        <f t="shared" si="4"/>
        <v>0</v>
      </c>
      <c r="R17" s="90">
        <f t="shared" si="5"/>
        <v>1</v>
      </c>
      <c r="S17" s="111">
        <f t="shared" si="7"/>
        <v>0</v>
      </c>
      <c r="T17" s="266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המרכז",IF(S17=0,"",(IF(S17/'ראשי-פרטים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17" s="92"/>
      <c r="V17" s="171" t="str">
        <f t="shared" si="8"/>
        <v/>
      </c>
      <c r="W17" s="126"/>
      <c r="Y17" s="368">
        <f t="shared" si="9"/>
        <v>0</v>
      </c>
    </row>
    <row r="18" spans="1:25" s="87" customFormat="1" ht="24" customHeight="1" x14ac:dyDescent="0.2">
      <c r="A18" s="312">
        <v>16</v>
      </c>
      <c r="B18" s="306"/>
      <c r="C18" s="314"/>
      <c r="D18" s="314"/>
      <c r="E18" s="313"/>
      <c r="F18" s="308"/>
      <c r="G18" s="366">
        <f t="shared" si="11"/>
        <v>0</v>
      </c>
      <c r="H18" s="309"/>
      <c r="I18" s="310">
        <f t="shared" si="10"/>
        <v>0</v>
      </c>
      <c r="J18" s="105">
        <f t="shared" si="12"/>
        <v>0</v>
      </c>
      <c r="K18" s="105">
        <f t="shared" si="13"/>
        <v>0</v>
      </c>
      <c r="L18" s="279">
        <f t="shared" si="2"/>
        <v>1</v>
      </c>
      <c r="M18" s="91">
        <f t="shared" si="6"/>
        <v>0</v>
      </c>
      <c r="N18" s="92"/>
      <c r="O18" s="171" t="str">
        <f t="shared" si="3"/>
        <v/>
      </c>
      <c r="P18" s="122"/>
      <c r="Q18" s="157">
        <f t="shared" si="4"/>
        <v>0</v>
      </c>
      <c r="R18" s="90">
        <f t="shared" si="5"/>
        <v>1</v>
      </c>
      <c r="S18" s="111">
        <f t="shared" si="7"/>
        <v>0</v>
      </c>
      <c r="T18" s="266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המרכז",IF(S18=0,"",(IF(S18/'ראשי-פרטים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18" s="92"/>
      <c r="V18" s="171" t="str">
        <f t="shared" si="8"/>
        <v/>
      </c>
      <c r="W18" s="126"/>
      <c r="Y18" s="368">
        <f t="shared" si="9"/>
        <v>0</v>
      </c>
    </row>
    <row r="19" spans="1:25" s="87" customFormat="1" ht="24" customHeight="1" x14ac:dyDescent="0.2">
      <c r="A19" s="312">
        <v>17</v>
      </c>
      <c r="B19" s="306"/>
      <c r="C19" s="314"/>
      <c r="D19" s="314"/>
      <c r="E19" s="313"/>
      <c r="F19" s="308"/>
      <c r="G19" s="366">
        <f t="shared" si="11"/>
        <v>0</v>
      </c>
      <c r="H19" s="309"/>
      <c r="I19" s="310">
        <f t="shared" si="10"/>
        <v>0</v>
      </c>
      <c r="J19" s="105">
        <f t="shared" si="12"/>
        <v>0</v>
      </c>
      <c r="K19" s="105">
        <f t="shared" si="13"/>
        <v>0</v>
      </c>
      <c r="L19" s="279">
        <f t="shared" si="2"/>
        <v>1</v>
      </c>
      <c r="M19" s="91">
        <f t="shared" si="6"/>
        <v>0</v>
      </c>
      <c r="N19" s="92"/>
      <c r="O19" s="171" t="str">
        <f t="shared" si="3"/>
        <v/>
      </c>
      <c r="P19" s="122"/>
      <c r="Q19" s="157">
        <f t="shared" si="4"/>
        <v>0</v>
      </c>
      <c r="R19" s="90">
        <f t="shared" si="5"/>
        <v>1</v>
      </c>
      <c r="S19" s="111">
        <f t="shared" si="7"/>
        <v>0</v>
      </c>
      <c r="T19" s="266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המרכז",IF(S19=0,"",(IF(S19/'ראשי-פרטים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19" s="92"/>
      <c r="V19" s="171" t="str">
        <f t="shared" si="8"/>
        <v/>
      </c>
      <c r="W19" s="126"/>
      <c r="Y19" s="368">
        <f t="shared" si="9"/>
        <v>0</v>
      </c>
    </row>
    <row r="20" spans="1:25" s="87" customFormat="1" ht="24" customHeight="1" x14ac:dyDescent="0.2">
      <c r="A20" s="312">
        <v>18</v>
      </c>
      <c r="B20" s="306"/>
      <c r="C20" s="314"/>
      <c r="D20" s="314"/>
      <c r="E20" s="313"/>
      <c r="F20" s="308"/>
      <c r="G20" s="366">
        <f t="shared" si="11"/>
        <v>0</v>
      </c>
      <c r="H20" s="309"/>
      <c r="I20" s="310">
        <f t="shared" si="10"/>
        <v>0</v>
      </c>
      <c r="J20" s="105">
        <f t="shared" si="12"/>
        <v>0</v>
      </c>
      <c r="K20" s="105">
        <f t="shared" si="13"/>
        <v>0</v>
      </c>
      <c r="L20" s="279">
        <f t="shared" si="2"/>
        <v>1</v>
      </c>
      <c r="M20" s="91">
        <f t="shared" si="6"/>
        <v>0</v>
      </c>
      <c r="N20" s="92"/>
      <c r="O20" s="171" t="str">
        <f t="shared" si="3"/>
        <v/>
      </c>
      <c r="P20" s="122"/>
      <c r="Q20" s="157">
        <f t="shared" si="4"/>
        <v>0</v>
      </c>
      <c r="R20" s="90">
        <f t="shared" si="5"/>
        <v>1</v>
      </c>
      <c r="S20" s="111">
        <f t="shared" si="7"/>
        <v>0</v>
      </c>
      <c r="T20" s="266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המרכז",IF(S20=0,"",(IF(S20/'ראשי-פרטים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20" s="92"/>
      <c r="V20" s="171" t="str">
        <f t="shared" si="8"/>
        <v/>
      </c>
      <c r="W20" s="126"/>
      <c r="Y20" s="368">
        <f t="shared" si="9"/>
        <v>0</v>
      </c>
    </row>
    <row r="21" spans="1:25" s="87" customFormat="1" ht="24" customHeight="1" x14ac:dyDescent="0.2">
      <c r="A21" s="312">
        <v>19</v>
      </c>
      <c r="B21" s="306"/>
      <c r="C21" s="314"/>
      <c r="D21" s="314"/>
      <c r="E21" s="313"/>
      <c r="F21" s="308"/>
      <c r="G21" s="366">
        <f t="shared" si="11"/>
        <v>0</v>
      </c>
      <c r="H21" s="309"/>
      <c r="I21" s="310">
        <f t="shared" si="10"/>
        <v>0</v>
      </c>
      <c r="J21" s="105">
        <f t="shared" si="12"/>
        <v>0</v>
      </c>
      <c r="K21" s="105">
        <f t="shared" si="13"/>
        <v>0</v>
      </c>
      <c r="L21" s="279">
        <f t="shared" si="2"/>
        <v>1</v>
      </c>
      <c r="M21" s="91">
        <f t="shared" si="6"/>
        <v>0</v>
      </c>
      <c r="N21" s="92"/>
      <c r="O21" s="171" t="str">
        <f t="shared" si="3"/>
        <v/>
      </c>
      <c r="P21" s="122"/>
      <c r="Q21" s="157">
        <f t="shared" si="4"/>
        <v>0</v>
      </c>
      <c r="R21" s="90">
        <f t="shared" si="5"/>
        <v>1</v>
      </c>
      <c r="S21" s="111">
        <f t="shared" si="7"/>
        <v>0</v>
      </c>
      <c r="T21" s="266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המרכז",IF(S21=0,"",(IF(S21/'ראשי-פרטים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21" s="92"/>
      <c r="V21" s="171" t="str">
        <f t="shared" si="8"/>
        <v/>
      </c>
      <c r="W21" s="126"/>
      <c r="Y21" s="368">
        <f t="shared" si="9"/>
        <v>0</v>
      </c>
    </row>
    <row r="22" spans="1:25" s="87" customFormat="1" ht="24" customHeight="1" x14ac:dyDescent="0.2">
      <c r="A22" s="312">
        <v>20</v>
      </c>
      <c r="B22" s="306"/>
      <c r="C22" s="314"/>
      <c r="D22" s="314"/>
      <c r="E22" s="313"/>
      <c r="F22" s="308"/>
      <c r="G22" s="366">
        <f t="shared" si="11"/>
        <v>0</v>
      </c>
      <c r="H22" s="309"/>
      <c r="I22" s="310">
        <f t="shared" si="10"/>
        <v>0</v>
      </c>
      <c r="J22" s="105">
        <f t="shared" si="12"/>
        <v>0</v>
      </c>
      <c r="K22" s="105">
        <f t="shared" si="13"/>
        <v>0</v>
      </c>
      <c r="L22" s="279">
        <f t="shared" si="2"/>
        <v>1</v>
      </c>
      <c r="M22" s="91">
        <f t="shared" si="6"/>
        <v>0</v>
      </c>
      <c r="N22" s="92"/>
      <c r="O22" s="171" t="str">
        <f t="shared" si="3"/>
        <v/>
      </c>
      <c r="P22" s="122"/>
      <c r="Q22" s="157">
        <f t="shared" si="4"/>
        <v>0</v>
      </c>
      <c r="R22" s="90">
        <f t="shared" si="5"/>
        <v>1</v>
      </c>
      <c r="S22" s="111">
        <f t="shared" si="7"/>
        <v>0</v>
      </c>
      <c r="T22" s="266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המרכז",IF(S22=0,"",(IF(S22/'ראשי-פרטים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22" s="92"/>
      <c r="V22" s="171" t="str">
        <f t="shared" si="8"/>
        <v/>
      </c>
      <c r="W22" s="126"/>
      <c r="Y22" s="368">
        <f t="shared" si="9"/>
        <v>0</v>
      </c>
    </row>
    <row r="23" spans="1:25" s="87" customFormat="1" ht="24" customHeight="1" x14ac:dyDescent="0.2">
      <c r="A23" s="312">
        <v>21</v>
      </c>
      <c r="B23" s="306"/>
      <c r="C23" s="314"/>
      <c r="D23" s="314"/>
      <c r="E23" s="313"/>
      <c r="F23" s="308"/>
      <c r="G23" s="366">
        <f t="shared" si="11"/>
        <v>0</v>
      </c>
      <c r="H23" s="309"/>
      <c r="I23" s="310">
        <f t="shared" si="10"/>
        <v>0</v>
      </c>
      <c r="J23" s="105">
        <f t="shared" si="12"/>
        <v>0</v>
      </c>
      <c r="K23" s="105">
        <f t="shared" si="13"/>
        <v>0</v>
      </c>
      <c r="L23" s="279">
        <f t="shared" si="2"/>
        <v>1</v>
      </c>
      <c r="M23" s="91">
        <f t="shared" si="6"/>
        <v>0</v>
      </c>
      <c r="N23" s="92"/>
      <c r="O23" s="171" t="str">
        <f t="shared" si="3"/>
        <v/>
      </c>
      <c r="P23" s="122"/>
      <c r="Q23" s="157">
        <f t="shared" si="4"/>
        <v>0</v>
      </c>
      <c r="R23" s="90">
        <f t="shared" si="5"/>
        <v>1</v>
      </c>
      <c r="S23" s="111">
        <f t="shared" si="7"/>
        <v>0</v>
      </c>
      <c r="T23" s="266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המרכז",IF(S23=0,"",(IF(S23/'ראשי-פרטים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23" s="92"/>
      <c r="V23" s="171" t="str">
        <f t="shared" si="8"/>
        <v/>
      </c>
      <c r="W23" s="126"/>
      <c r="Y23" s="368">
        <f t="shared" si="9"/>
        <v>0</v>
      </c>
    </row>
    <row r="24" spans="1:25" s="87" customFormat="1" ht="24" customHeight="1" x14ac:dyDescent="0.2">
      <c r="A24" s="312">
        <v>22</v>
      </c>
      <c r="B24" s="306"/>
      <c r="C24" s="314"/>
      <c r="D24" s="314"/>
      <c r="E24" s="313"/>
      <c r="F24" s="308"/>
      <c r="G24" s="366">
        <f t="shared" si="11"/>
        <v>0</v>
      </c>
      <c r="H24" s="309"/>
      <c r="I24" s="310">
        <f t="shared" si="10"/>
        <v>0</v>
      </c>
      <c r="J24" s="105">
        <f t="shared" si="12"/>
        <v>0</v>
      </c>
      <c r="K24" s="105">
        <f t="shared" si="13"/>
        <v>0</v>
      </c>
      <c r="L24" s="279">
        <f t="shared" si="2"/>
        <v>1</v>
      </c>
      <c r="M24" s="91">
        <f t="shared" si="6"/>
        <v>0</v>
      </c>
      <c r="N24" s="92"/>
      <c r="O24" s="171" t="str">
        <f t="shared" si="3"/>
        <v/>
      </c>
      <c r="P24" s="122"/>
      <c r="Q24" s="157">
        <f t="shared" si="4"/>
        <v>0</v>
      </c>
      <c r="R24" s="90">
        <f t="shared" si="5"/>
        <v>1</v>
      </c>
      <c r="S24" s="111">
        <f t="shared" si="7"/>
        <v>0</v>
      </c>
      <c r="T24" s="266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המרכז",IF(S24=0,"",(IF(S24/'ראשי-פרטים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24" s="92"/>
      <c r="V24" s="171" t="str">
        <f t="shared" si="8"/>
        <v/>
      </c>
      <c r="W24" s="126"/>
      <c r="Y24" s="368">
        <f t="shared" si="9"/>
        <v>0</v>
      </c>
    </row>
    <row r="25" spans="1:25" s="87" customFormat="1" ht="24" customHeight="1" x14ac:dyDescent="0.2">
      <c r="A25" s="312">
        <v>23</v>
      </c>
      <c r="B25" s="306"/>
      <c r="C25" s="314"/>
      <c r="D25" s="314"/>
      <c r="E25" s="313"/>
      <c r="F25" s="308"/>
      <c r="G25" s="366">
        <f t="shared" si="11"/>
        <v>0</v>
      </c>
      <c r="H25" s="309"/>
      <c r="I25" s="310">
        <f t="shared" si="10"/>
        <v>0</v>
      </c>
      <c r="J25" s="105">
        <f t="shared" si="12"/>
        <v>0</v>
      </c>
      <c r="K25" s="105">
        <f t="shared" si="13"/>
        <v>0</v>
      </c>
      <c r="L25" s="279">
        <f t="shared" si="2"/>
        <v>1</v>
      </c>
      <c r="M25" s="91">
        <f t="shared" si="6"/>
        <v>0</v>
      </c>
      <c r="N25" s="92"/>
      <c r="O25" s="171" t="str">
        <f t="shared" si="3"/>
        <v/>
      </c>
      <c r="P25" s="122"/>
      <c r="Q25" s="157">
        <f t="shared" si="4"/>
        <v>0</v>
      </c>
      <c r="R25" s="90">
        <f t="shared" si="5"/>
        <v>1</v>
      </c>
      <c r="S25" s="111">
        <f t="shared" si="7"/>
        <v>0</v>
      </c>
      <c r="T25" s="266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המרכז",IF(S25=0,"",(IF(S25/'ראשי-פרטים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25" s="92"/>
      <c r="V25" s="171" t="str">
        <f t="shared" si="8"/>
        <v/>
      </c>
      <c r="W25" s="126"/>
      <c r="Y25" s="368">
        <f t="shared" si="9"/>
        <v>0</v>
      </c>
    </row>
    <row r="26" spans="1:25" s="87" customFormat="1" ht="24" customHeight="1" x14ac:dyDescent="0.2">
      <c r="A26" s="312">
        <v>24</v>
      </c>
      <c r="B26" s="306"/>
      <c r="C26" s="314"/>
      <c r="D26" s="314"/>
      <c r="E26" s="313"/>
      <c r="F26" s="308"/>
      <c r="G26" s="366">
        <f t="shared" si="11"/>
        <v>0</v>
      </c>
      <c r="H26" s="309"/>
      <c r="I26" s="310">
        <f t="shared" si="10"/>
        <v>0</v>
      </c>
      <c r="J26" s="105">
        <f t="shared" si="12"/>
        <v>0</v>
      </c>
      <c r="K26" s="105">
        <f t="shared" si="13"/>
        <v>0</v>
      </c>
      <c r="L26" s="279">
        <f t="shared" si="2"/>
        <v>1</v>
      </c>
      <c r="M26" s="91">
        <f t="shared" si="6"/>
        <v>0</v>
      </c>
      <c r="N26" s="92"/>
      <c r="O26" s="171" t="str">
        <f t="shared" si="3"/>
        <v/>
      </c>
      <c r="P26" s="122"/>
      <c r="Q26" s="157">
        <f t="shared" si="4"/>
        <v>0</v>
      </c>
      <c r="R26" s="90">
        <f t="shared" si="5"/>
        <v>1</v>
      </c>
      <c r="S26" s="111">
        <f t="shared" si="7"/>
        <v>0</v>
      </c>
      <c r="T26" s="266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המרכז",IF(S26=0,"",(IF(S26/'ראשי-פרטים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26" s="92"/>
      <c r="V26" s="171" t="str">
        <f t="shared" si="8"/>
        <v/>
      </c>
      <c r="W26" s="126"/>
      <c r="Y26" s="368">
        <f t="shared" si="9"/>
        <v>0</v>
      </c>
    </row>
    <row r="27" spans="1:25" s="87" customFormat="1" ht="24" customHeight="1" x14ac:dyDescent="0.2">
      <c r="A27" s="312">
        <v>25</v>
      </c>
      <c r="B27" s="306"/>
      <c r="C27" s="314"/>
      <c r="D27" s="314"/>
      <c r="E27" s="313"/>
      <c r="F27" s="308"/>
      <c r="G27" s="366">
        <f t="shared" si="11"/>
        <v>0</v>
      </c>
      <c r="H27" s="309"/>
      <c r="I27" s="310">
        <f t="shared" si="10"/>
        <v>0</v>
      </c>
      <c r="J27" s="105">
        <f t="shared" si="12"/>
        <v>0</v>
      </c>
      <c r="K27" s="105">
        <f t="shared" si="13"/>
        <v>0</v>
      </c>
      <c r="L27" s="279">
        <f t="shared" si="2"/>
        <v>1</v>
      </c>
      <c r="M27" s="91">
        <f t="shared" si="6"/>
        <v>0</v>
      </c>
      <c r="N27" s="92"/>
      <c r="O27" s="171" t="str">
        <f t="shared" si="3"/>
        <v/>
      </c>
      <c r="P27" s="122"/>
      <c r="Q27" s="157">
        <f t="shared" si="4"/>
        <v>0</v>
      </c>
      <c r="R27" s="90">
        <f t="shared" si="5"/>
        <v>1</v>
      </c>
      <c r="S27" s="111">
        <f t="shared" si="7"/>
        <v>0</v>
      </c>
      <c r="T27" s="266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המרכז",IF(S27=0,"",(IF(S27/'ראשי-פרטים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27" s="92"/>
      <c r="V27" s="171" t="str">
        <f t="shared" si="8"/>
        <v/>
      </c>
      <c r="W27" s="126"/>
      <c r="Y27" s="368">
        <f t="shared" si="9"/>
        <v>0</v>
      </c>
    </row>
    <row r="28" spans="1:25" s="87" customFormat="1" ht="24" customHeight="1" x14ac:dyDescent="0.2">
      <c r="A28" s="312">
        <v>26</v>
      </c>
      <c r="B28" s="306"/>
      <c r="C28" s="314"/>
      <c r="D28" s="314"/>
      <c r="E28" s="313"/>
      <c r="F28" s="308"/>
      <c r="G28" s="366">
        <f t="shared" si="11"/>
        <v>0</v>
      </c>
      <c r="H28" s="309"/>
      <c r="I28" s="310">
        <f t="shared" si="10"/>
        <v>0</v>
      </c>
      <c r="J28" s="105">
        <f t="shared" si="12"/>
        <v>0</v>
      </c>
      <c r="K28" s="105">
        <f t="shared" si="13"/>
        <v>0</v>
      </c>
      <c r="L28" s="279">
        <f t="shared" si="2"/>
        <v>1</v>
      </c>
      <c r="M28" s="91">
        <f t="shared" si="6"/>
        <v>0</v>
      </c>
      <c r="N28" s="92"/>
      <c r="O28" s="171" t="str">
        <f t="shared" si="3"/>
        <v/>
      </c>
      <c r="P28" s="122"/>
      <c r="Q28" s="157">
        <f t="shared" si="4"/>
        <v>0</v>
      </c>
      <c r="R28" s="90">
        <f t="shared" si="5"/>
        <v>1</v>
      </c>
      <c r="S28" s="111">
        <f t="shared" si="7"/>
        <v>0</v>
      </c>
      <c r="T28" s="266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המרכז",IF(S28=0,"",(IF(S28/'ראשי-פרטים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28" s="92"/>
      <c r="V28" s="171" t="str">
        <f t="shared" si="8"/>
        <v/>
      </c>
      <c r="W28" s="126"/>
      <c r="Y28" s="368">
        <f t="shared" si="9"/>
        <v>0</v>
      </c>
    </row>
    <row r="29" spans="1:25" s="87" customFormat="1" ht="24" customHeight="1" x14ac:dyDescent="0.2">
      <c r="A29" s="312">
        <v>27</v>
      </c>
      <c r="B29" s="306"/>
      <c r="C29" s="314"/>
      <c r="D29" s="314"/>
      <c r="E29" s="313"/>
      <c r="F29" s="308"/>
      <c r="G29" s="366">
        <f t="shared" si="11"/>
        <v>0</v>
      </c>
      <c r="H29" s="309"/>
      <c r="I29" s="310">
        <f t="shared" si="10"/>
        <v>0</v>
      </c>
      <c r="J29" s="105">
        <f t="shared" si="12"/>
        <v>0</v>
      </c>
      <c r="K29" s="105">
        <f t="shared" si="13"/>
        <v>0</v>
      </c>
      <c r="L29" s="279">
        <f t="shared" si="2"/>
        <v>1</v>
      </c>
      <c r="M29" s="91">
        <f t="shared" si="6"/>
        <v>0</v>
      </c>
      <c r="N29" s="92"/>
      <c r="O29" s="171" t="str">
        <f t="shared" si="3"/>
        <v/>
      </c>
      <c r="P29" s="122"/>
      <c r="Q29" s="157">
        <f t="shared" si="4"/>
        <v>0</v>
      </c>
      <c r="R29" s="90">
        <f t="shared" si="5"/>
        <v>1</v>
      </c>
      <c r="S29" s="111">
        <f t="shared" si="7"/>
        <v>0</v>
      </c>
      <c r="T29" s="266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המרכז",IF(S29=0,"",(IF(S29/'ראשי-פרטים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29" s="92"/>
      <c r="V29" s="171" t="str">
        <f t="shared" si="8"/>
        <v/>
      </c>
      <c r="W29" s="126"/>
      <c r="Y29" s="368">
        <f t="shared" si="9"/>
        <v>0</v>
      </c>
    </row>
    <row r="30" spans="1:25" s="87" customFormat="1" ht="24" customHeight="1" x14ac:dyDescent="0.2">
      <c r="A30" s="312">
        <v>28</v>
      </c>
      <c r="B30" s="306"/>
      <c r="C30" s="314"/>
      <c r="D30" s="314"/>
      <c r="E30" s="313"/>
      <c r="F30" s="308"/>
      <c r="G30" s="366">
        <f t="shared" si="11"/>
        <v>0</v>
      </c>
      <c r="H30" s="309"/>
      <c r="I30" s="310">
        <f t="shared" si="10"/>
        <v>0</v>
      </c>
      <c r="J30" s="105">
        <f t="shared" si="12"/>
        <v>0</v>
      </c>
      <c r="K30" s="105">
        <f t="shared" si="13"/>
        <v>0</v>
      </c>
      <c r="L30" s="279">
        <f t="shared" si="2"/>
        <v>1</v>
      </c>
      <c r="M30" s="91">
        <f t="shared" si="6"/>
        <v>0</v>
      </c>
      <c r="N30" s="92"/>
      <c r="O30" s="171" t="str">
        <f t="shared" si="3"/>
        <v/>
      </c>
      <c r="P30" s="122"/>
      <c r="Q30" s="157">
        <f t="shared" si="4"/>
        <v>0</v>
      </c>
      <c r="R30" s="90">
        <f t="shared" si="5"/>
        <v>1</v>
      </c>
      <c r="S30" s="111">
        <f t="shared" si="7"/>
        <v>0</v>
      </c>
      <c r="T30" s="266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המרכז",IF(S30=0,"",(IF(S30/'ראשי-פרטים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0" s="92"/>
      <c r="V30" s="171" t="str">
        <f t="shared" si="8"/>
        <v/>
      </c>
      <c r="W30" s="126"/>
      <c r="Y30" s="368">
        <f t="shared" si="9"/>
        <v>0</v>
      </c>
    </row>
    <row r="31" spans="1:25" s="87" customFormat="1" ht="24" customHeight="1" x14ac:dyDescent="0.2">
      <c r="A31" s="312">
        <v>29</v>
      </c>
      <c r="B31" s="306"/>
      <c r="C31" s="314"/>
      <c r="D31" s="314"/>
      <c r="E31" s="313"/>
      <c r="F31" s="308"/>
      <c r="G31" s="366">
        <f t="shared" si="11"/>
        <v>0</v>
      </c>
      <c r="H31" s="309"/>
      <c r="I31" s="310">
        <f t="shared" si="10"/>
        <v>0</v>
      </c>
      <c r="J31" s="105">
        <f t="shared" si="12"/>
        <v>0</v>
      </c>
      <c r="K31" s="105">
        <f t="shared" si="13"/>
        <v>0</v>
      </c>
      <c r="L31" s="279">
        <f t="shared" si="2"/>
        <v>1</v>
      </c>
      <c r="M31" s="91">
        <f t="shared" si="6"/>
        <v>0</v>
      </c>
      <c r="N31" s="92"/>
      <c r="O31" s="171" t="str">
        <f t="shared" si="3"/>
        <v/>
      </c>
      <c r="P31" s="122"/>
      <c r="Q31" s="157">
        <f t="shared" si="4"/>
        <v>0</v>
      </c>
      <c r="R31" s="90">
        <f t="shared" si="5"/>
        <v>1</v>
      </c>
      <c r="S31" s="111">
        <f t="shared" si="7"/>
        <v>0</v>
      </c>
      <c r="T31" s="266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המרכז",IF(S31=0,"",(IF(S31/'ראשי-פרטים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1" s="92"/>
      <c r="V31" s="171" t="str">
        <f t="shared" si="8"/>
        <v/>
      </c>
      <c r="W31" s="126"/>
      <c r="Y31" s="368">
        <f t="shared" si="9"/>
        <v>0</v>
      </c>
    </row>
    <row r="32" spans="1:25" s="87" customFormat="1" ht="24" customHeight="1" x14ac:dyDescent="0.2">
      <c r="A32" s="312">
        <v>30</v>
      </c>
      <c r="B32" s="306"/>
      <c r="C32" s="314"/>
      <c r="D32" s="314"/>
      <c r="E32" s="313"/>
      <c r="F32" s="308"/>
      <c r="G32" s="366">
        <f t="shared" si="11"/>
        <v>0</v>
      </c>
      <c r="H32" s="309"/>
      <c r="I32" s="310">
        <f t="shared" si="10"/>
        <v>0</v>
      </c>
      <c r="J32" s="105">
        <f t="shared" si="12"/>
        <v>0</v>
      </c>
      <c r="K32" s="105">
        <f t="shared" si="13"/>
        <v>0</v>
      </c>
      <c r="L32" s="279">
        <f t="shared" si="2"/>
        <v>1</v>
      </c>
      <c r="M32" s="91">
        <f t="shared" si="6"/>
        <v>0</v>
      </c>
      <c r="N32" s="92"/>
      <c r="O32" s="171" t="str">
        <f t="shared" si="3"/>
        <v/>
      </c>
      <c r="P32" s="122"/>
      <c r="Q32" s="157">
        <f t="shared" si="4"/>
        <v>0</v>
      </c>
      <c r="R32" s="90">
        <f t="shared" si="5"/>
        <v>1</v>
      </c>
      <c r="S32" s="111">
        <f t="shared" si="7"/>
        <v>0</v>
      </c>
      <c r="T32" s="266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המרכז",IF(S32=0,"",(IF(S32/'ראשי-פרטים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2" s="92"/>
      <c r="V32" s="171" t="str">
        <f t="shared" si="8"/>
        <v/>
      </c>
      <c r="W32" s="126"/>
      <c r="Y32" s="368">
        <f t="shared" si="9"/>
        <v>0</v>
      </c>
    </row>
    <row r="33" spans="1:25" s="87" customFormat="1" ht="24" customHeight="1" x14ac:dyDescent="0.2">
      <c r="A33" s="312">
        <v>31</v>
      </c>
      <c r="B33" s="306"/>
      <c r="C33" s="314"/>
      <c r="D33" s="314"/>
      <c r="E33" s="313"/>
      <c r="F33" s="308"/>
      <c r="G33" s="366">
        <f t="shared" si="11"/>
        <v>0</v>
      </c>
      <c r="H33" s="309"/>
      <c r="I33" s="310">
        <f t="shared" si="10"/>
        <v>0</v>
      </c>
      <c r="J33" s="105">
        <f t="shared" si="12"/>
        <v>0</v>
      </c>
      <c r="K33" s="105">
        <f t="shared" si="13"/>
        <v>0</v>
      </c>
      <c r="L33" s="279">
        <f t="shared" si="2"/>
        <v>1</v>
      </c>
      <c r="M33" s="91">
        <f t="shared" si="6"/>
        <v>0</v>
      </c>
      <c r="N33" s="92"/>
      <c r="O33" s="171" t="str">
        <f t="shared" si="3"/>
        <v/>
      </c>
      <c r="P33" s="122"/>
      <c r="Q33" s="157">
        <f t="shared" si="4"/>
        <v>0</v>
      </c>
      <c r="R33" s="90">
        <f t="shared" si="5"/>
        <v>1</v>
      </c>
      <c r="S33" s="111">
        <f t="shared" si="7"/>
        <v>0</v>
      </c>
      <c r="T33" s="266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המרכז",IF(S33=0,"",(IF(S33/'ראשי-פרטים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3" s="92"/>
      <c r="V33" s="171" t="str">
        <f t="shared" si="8"/>
        <v/>
      </c>
      <c r="W33" s="126"/>
      <c r="Y33" s="368">
        <f t="shared" si="9"/>
        <v>0</v>
      </c>
    </row>
    <row r="34" spans="1:25" s="87" customFormat="1" ht="24" customHeight="1" x14ac:dyDescent="0.2">
      <c r="A34" s="312">
        <v>32</v>
      </c>
      <c r="B34" s="306"/>
      <c r="C34" s="314"/>
      <c r="D34" s="314"/>
      <c r="E34" s="313"/>
      <c r="F34" s="308"/>
      <c r="G34" s="366">
        <f t="shared" si="11"/>
        <v>0</v>
      </c>
      <c r="H34" s="309"/>
      <c r="I34" s="310">
        <f t="shared" si="10"/>
        <v>0</v>
      </c>
      <c r="J34" s="105">
        <f t="shared" si="12"/>
        <v>0</v>
      </c>
      <c r="K34" s="105">
        <f t="shared" si="13"/>
        <v>0</v>
      </c>
      <c r="L34" s="279">
        <f t="shared" si="2"/>
        <v>1</v>
      </c>
      <c r="M34" s="91">
        <f t="shared" si="6"/>
        <v>0</v>
      </c>
      <c r="N34" s="92"/>
      <c r="O34" s="171" t="str">
        <f t="shared" si="3"/>
        <v/>
      </c>
      <c r="P34" s="122"/>
      <c r="Q34" s="157">
        <f t="shared" si="4"/>
        <v>0</v>
      </c>
      <c r="R34" s="90">
        <f t="shared" si="5"/>
        <v>1</v>
      </c>
      <c r="S34" s="111">
        <f t="shared" si="7"/>
        <v>0</v>
      </c>
      <c r="T34" s="266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המרכז",IF(S34=0,"",(IF(S34/'ראשי-פרטים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4" s="92"/>
      <c r="V34" s="171" t="str">
        <f t="shared" si="8"/>
        <v/>
      </c>
      <c r="W34" s="126"/>
      <c r="Y34" s="368">
        <f t="shared" si="9"/>
        <v>0</v>
      </c>
    </row>
    <row r="35" spans="1:25" s="87" customFormat="1" ht="24" customHeight="1" x14ac:dyDescent="0.2">
      <c r="A35" s="312">
        <v>33</v>
      </c>
      <c r="B35" s="306"/>
      <c r="C35" s="314"/>
      <c r="D35" s="314"/>
      <c r="E35" s="313"/>
      <c r="F35" s="308"/>
      <c r="G35" s="366">
        <f t="shared" si="11"/>
        <v>0</v>
      </c>
      <c r="H35" s="309"/>
      <c r="I35" s="310">
        <f t="shared" si="10"/>
        <v>0</v>
      </c>
      <c r="J35" s="105">
        <f t="shared" si="12"/>
        <v>0</v>
      </c>
      <c r="K35" s="105">
        <f t="shared" si="13"/>
        <v>0</v>
      </c>
      <c r="L35" s="279">
        <f t="shared" si="2"/>
        <v>1</v>
      </c>
      <c r="M35" s="91">
        <f t="shared" si="6"/>
        <v>0</v>
      </c>
      <c r="N35" s="92"/>
      <c r="O35" s="171" t="str">
        <f t="shared" si="3"/>
        <v/>
      </c>
      <c r="P35" s="122"/>
      <c r="Q35" s="157">
        <f t="shared" si="4"/>
        <v>0</v>
      </c>
      <c r="R35" s="90">
        <f t="shared" si="5"/>
        <v>1</v>
      </c>
      <c r="S35" s="111">
        <f t="shared" si="7"/>
        <v>0</v>
      </c>
      <c r="T35" s="266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המרכז",IF(S35=0,"",(IF(S35/'ראשי-פרטים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5" s="92"/>
      <c r="V35" s="171" t="str">
        <f t="shared" si="8"/>
        <v/>
      </c>
      <c r="W35" s="126"/>
      <c r="Y35" s="368">
        <f t="shared" si="9"/>
        <v>0</v>
      </c>
    </row>
    <row r="36" spans="1:25" s="87" customFormat="1" ht="24" customHeight="1" x14ac:dyDescent="0.2">
      <c r="A36" s="312">
        <v>34</v>
      </c>
      <c r="B36" s="306"/>
      <c r="C36" s="314"/>
      <c r="D36" s="314"/>
      <c r="E36" s="366"/>
      <c r="F36" s="308"/>
      <c r="G36" s="366">
        <f t="shared" si="11"/>
        <v>0</v>
      </c>
      <c r="H36" s="309"/>
      <c r="I36" s="310">
        <f t="shared" si="10"/>
        <v>0</v>
      </c>
      <c r="J36" s="105">
        <f t="shared" si="12"/>
        <v>0</v>
      </c>
      <c r="K36" s="105">
        <f t="shared" si="13"/>
        <v>0</v>
      </c>
      <c r="L36" s="279">
        <f t="shared" si="2"/>
        <v>1</v>
      </c>
      <c r="M36" s="91">
        <f t="shared" si="6"/>
        <v>0</v>
      </c>
      <c r="N36" s="92"/>
      <c r="O36" s="171" t="str">
        <f t="shared" si="3"/>
        <v/>
      </c>
      <c r="P36" s="122"/>
      <c r="Q36" s="157">
        <f t="shared" si="4"/>
        <v>0</v>
      </c>
      <c r="R36" s="90">
        <f t="shared" si="5"/>
        <v>1</v>
      </c>
      <c r="S36" s="111">
        <f t="shared" si="7"/>
        <v>0</v>
      </c>
      <c r="T36" s="266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המרכז",IF(S36=0,"",(IF(S36/'ראשי-פרטים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6" s="92"/>
      <c r="V36" s="171" t="str">
        <f t="shared" si="8"/>
        <v/>
      </c>
      <c r="W36" s="126"/>
      <c r="Y36" s="368">
        <f t="shared" si="9"/>
        <v>0</v>
      </c>
    </row>
    <row r="37" spans="1:25" s="87" customFormat="1" ht="24" customHeight="1" x14ac:dyDescent="0.2">
      <c r="A37" s="312">
        <v>35</v>
      </c>
      <c r="B37" s="306"/>
      <c r="C37" s="314"/>
      <c r="D37" s="314"/>
      <c r="E37" s="313"/>
      <c r="F37" s="308"/>
      <c r="G37" s="366">
        <f t="shared" si="11"/>
        <v>0</v>
      </c>
      <c r="H37" s="309"/>
      <c r="I37" s="310">
        <f t="shared" si="10"/>
        <v>0</v>
      </c>
      <c r="J37" s="105">
        <f t="shared" si="12"/>
        <v>0</v>
      </c>
      <c r="K37" s="105">
        <f t="shared" si="13"/>
        <v>0</v>
      </c>
      <c r="L37" s="279">
        <f t="shared" si="2"/>
        <v>1</v>
      </c>
      <c r="M37" s="91">
        <f t="shared" si="6"/>
        <v>0</v>
      </c>
      <c r="N37" s="92"/>
      <c r="O37" s="171" t="str">
        <f t="shared" si="3"/>
        <v/>
      </c>
      <c r="P37" s="122"/>
      <c r="Q37" s="157">
        <f t="shared" si="4"/>
        <v>0</v>
      </c>
      <c r="R37" s="90">
        <f t="shared" si="5"/>
        <v>1</v>
      </c>
      <c r="S37" s="111">
        <f t="shared" si="7"/>
        <v>0</v>
      </c>
      <c r="T37" s="266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המרכז",IF(S37=0,"",(IF(S37/'ראשי-פרטים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7" s="92"/>
      <c r="V37" s="171" t="str">
        <f t="shared" si="8"/>
        <v/>
      </c>
      <c r="W37" s="126"/>
      <c r="Y37" s="368">
        <f t="shared" si="9"/>
        <v>0</v>
      </c>
    </row>
    <row r="38" spans="1:25" s="87" customFormat="1" ht="24" customHeight="1" x14ac:dyDescent="0.2">
      <c r="A38" s="312">
        <v>36</v>
      </c>
      <c r="B38" s="306"/>
      <c r="C38" s="314"/>
      <c r="D38" s="314"/>
      <c r="E38" s="313"/>
      <c r="F38" s="308"/>
      <c r="G38" s="366">
        <f t="shared" si="11"/>
        <v>0</v>
      </c>
      <c r="H38" s="309"/>
      <c r="I38" s="310">
        <f t="shared" si="10"/>
        <v>0</v>
      </c>
      <c r="J38" s="105">
        <f t="shared" si="12"/>
        <v>0</v>
      </c>
      <c r="K38" s="105">
        <f t="shared" si="13"/>
        <v>0</v>
      </c>
      <c r="L38" s="279">
        <f t="shared" si="2"/>
        <v>1</v>
      </c>
      <c r="M38" s="91">
        <f t="shared" si="6"/>
        <v>0</v>
      </c>
      <c r="N38" s="92"/>
      <c r="O38" s="171" t="str">
        <f t="shared" si="3"/>
        <v/>
      </c>
      <c r="P38" s="122"/>
      <c r="Q38" s="157">
        <f t="shared" si="4"/>
        <v>0</v>
      </c>
      <c r="R38" s="90">
        <f t="shared" si="5"/>
        <v>1</v>
      </c>
      <c r="S38" s="111">
        <f t="shared" si="7"/>
        <v>0</v>
      </c>
      <c r="T38" s="266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המרכז",IF(S38=0,"",(IF(S38/'ראשי-פרטים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8" s="92"/>
      <c r="V38" s="171" t="str">
        <f t="shared" si="8"/>
        <v/>
      </c>
      <c r="W38" s="126"/>
      <c r="Y38" s="368">
        <f t="shared" si="9"/>
        <v>0</v>
      </c>
    </row>
    <row r="39" spans="1:25" s="87" customFormat="1" ht="24" customHeight="1" x14ac:dyDescent="0.2">
      <c r="A39" s="312">
        <v>37</v>
      </c>
      <c r="B39" s="306"/>
      <c r="C39" s="313"/>
      <c r="D39" s="314"/>
      <c r="E39" s="313"/>
      <c r="F39" s="308"/>
      <c r="G39" s="366">
        <f t="shared" si="11"/>
        <v>0</v>
      </c>
      <c r="H39" s="309"/>
      <c r="I39" s="310">
        <f t="shared" si="10"/>
        <v>0</v>
      </c>
      <c r="J39" s="105">
        <f t="shared" si="12"/>
        <v>0</v>
      </c>
      <c r="K39" s="105">
        <f t="shared" si="13"/>
        <v>0</v>
      </c>
      <c r="L39" s="279">
        <f t="shared" si="2"/>
        <v>1</v>
      </c>
      <c r="M39" s="91">
        <f t="shared" si="6"/>
        <v>0</v>
      </c>
      <c r="N39" s="92"/>
      <c r="O39" s="171" t="str">
        <f t="shared" si="3"/>
        <v/>
      </c>
      <c r="P39" s="122"/>
      <c r="Q39" s="157">
        <f t="shared" si="4"/>
        <v>0</v>
      </c>
      <c r="R39" s="90">
        <f t="shared" si="5"/>
        <v>1</v>
      </c>
      <c r="S39" s="111">
        <f t="shared" si="7"/>
        <v>0</v>
      </c>
      <c r="T39" s="266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המרכז",IF(S39=0,"",(IF(S39/'ראשי-פרטים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9" s="92"/>
      <c r="V39" s="171" t="str">
        <f t="shared" si="8"/>
        <v/>
      </c>
      <c r="W39" s="126"/>
      <c r="Y39" s="368">
        <f t="shared" si="9"/>
        <v>0</v>
      </c>
    </row>
    <row r="40" spans="1:25" s="87" customFormat="1" ht="24" customHeight="1" x14ac:dyDescent="0.2">
      <c r="A40" s="312">
        <v>38</v>
      </c>
      <c r="B40" s="306"/>
      <c r="C40" s="314"/>
      <c r="D40" s="314"/>
      <c r="E40" s="313"/>
      <c r="F40" s="308"/>
      <c r="G40" s="366">
        <f t="shared" si="11"/>
        <v>0</v>
      </c>
      <c r="H40" s="309"/>
      <c r="I40" s="310">
        <f t="shared" si="10"/>
        <v>0</v>
      </c>
      <c r="J40" s="105">
        <f t="shared" si="12"/>
        <v>0</v>
      </c>
      <c r="K40" s="105">
        <f t="shared" si="13"/>
        <v>0</v>
      </c>
      <c r="L40" s="279">
        <f t="shared" si="2"/>
        <v>1</v>
      </c>
      <c r="M40" s="91">
        <f t="shared" si="6"/>
        <v>0</v>
      </c>
      <c r="N40" s="92"/>
      <c r="O40" s="171" t="str">
        <f t="shared" si="3"/>
        <v/>
      </c>
      <c r="P40" s="122"/>
      <c r="Q40" s="157">
        <f t="shared" si="4"/>
        <v>0</v>
      </c>
      <c r="R40" s="90">
        <f t="shared" si="5"/>
        <v>1</v>
      </c>
      <c r="S40" s="111">
        <f t="shared" si="7"/>
        <v>0</v>
      </c>
      <c r="T40" s="266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המרכז",IF(S40=0,"",(IF(S40/'ראשי-פרטים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40" s="92"/>
      <c r="V40" s="171" t="str">
        <f t="shared" si="8"/>
        <v/>
      </c>
      <c r="W40" s="126"/>
      <c r="Y40" s="368">
        <f t="shared" si="9"/>
        <v>0</v>
      </c>
    </row>
    <row r="41" spans="1:25" s="87" customFormat="1" ht="24" customHeight="1" x14ac:dyDescent="0.2">
      <c r="A41" s="312">
        <v>39</v>
      </c>
      <c r="B41" s="306"/>
      <c r="C41" s="314"/>
      <c r="D41" s="314"/>
      <c r="E41" s="313"/>
      <c r="F41" s="308"/>
      <c r="G41" s="366">
        <f t="shared" si="11"/>
        <v>0</v>
      </c>
      <c r="H41" s="309"/>
      <c r="I41" s="310">
        <f t="shared" si="10"/>
        <v>0</v>
      </c>
      <c r="J41" s="105">
        <f t="shared" si="12"/>
        <v>0</v>
      </c>
      <c r="K41" s="105">
        <f t="shared" si="13"/>
        <v>0</v>
      </c>
      <c r="L41" s="279">
        <f t="shared" si="2"/>
        <v>1</v>
      </c>
      <c r="M41" s="91">
        <f t="shared" si="6"/>
        <v>0</v>
      </c>
      <c r="N41" s="92"/>
      <c r="O41" s="171" t="str">
        <f t="shared" si="3"/>
        <v/>
      </c>
      <c r="P41" s="122"/>
      <c r="Q41" s="157">
        <f t="shared" si="4"/>
        <v>0</v>
      </c>
      <c r="R41" s="90">
        <f t="shared" si="5"/>
        <v>1</v>
      </c>
      <c r="S41" s="111">
        <f t="shared" si="7"/>
        <v>0</v>
      </c>
      <c r="T41" s="266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המרכז",IF(S41=0,"",(IF(S41/'ראשי-פרטים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41" s="92"/>
      <c r="V41" s="171" t="str">
        <f t="shared" si="8"/>
        <v/>
      </c>
      <c r="W41" s="126"/>
      <c r="Y41" s="368">
        <f t="shared" si="9"/>
        <v>0</v>
      </c>
    </row>
    <row r="42" spans="1:25" s="87" customFormat="1" ht="24" customHeight="1" x14ac:dyDescent="0.2">
      <c r="A42" s="312">
        <v>40</v>
      </c>
      <c r="B42" s="306"/>
      <c r="C42" s="314"/>
      <c r="D42" s="314"/>
      <c r="E42" s="313"/>
      <c r="F42" s="308"/>
      <c r="G42" s="366">
        <f t="shared" si="11"/>
        <v>0</v>
      </c>
      <c r="H42" s="309"/>
      <c r="I42" s="310">
        <f t="shared" si="10"/>
        <v>0</v>
      </c>
      <c r="J42" s="105">
        <f t="shared" si="12"/>
        <v>0</v>
      </c>
      <c r="K42" s="105">
        <f t="shared" si="13"/>
        <v>0</v>
      </c>
      <c r="L42" s="280">
        <f t="shared" si="2"/>
        <v>1</v>
      </c>
      <c r="M42" s="91">
        <f t="shared" si="6"/>
        <v>0</v>
      </c>
      <c r="N42" s="167"/>
      <c r="O42" s="172" t="str">
        <f t="shared" si="3"/>
        <v/>
      </c>
      <c r="P42" s="122"/>
      <c r="Q42" s="157">
        <f t="shared" si="4"/>
        <v>0</v>
      </c>
      <c r="R42" s="166">
        <f t="shared" si="5"/>
        <v>1</v>
      </c>
      <c r="S42" s="168">
        <f t="shared" si="7"/>
        <v>0</v>
      </c>
      <c r="T42" s="266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המרכז",IF(S42=0,"",(IF(S42/'ראשי-פרטים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42" s="167"/>
      <c r="V42" s="172" t="str">
        <f t="shared" si="8"/>
        <v/>
      </c>
      <c r="W42" s="126"/>
      <c r="Y42" s="368">
        <f t="shared" si="9"/>
        <v>0</v>
      </c>
    </row>
    <row r="43" spans="1:25" s="87" customFormat="1" ht="24" customHeight="1" x14ac:dyDescent="0.25">
      <c r="A43" s="315"/>
      <c r="B43" s="311"/>
      <c r="C43" s="311" t="s">
        <v>197</v>
      </c>
      <c r="D43" s="223">
        <f>SUMIF($D$3:$D$42,"פריפריה",$I$3:$I$42)</f>
        <v>0</v>
      </c>
      <c r="E43" s="223"/>
      <c r="F43" s="223"/>
      <c r="G43" s="311" t="s">
        <v>4</v>
      </c>
      <c r="H43" s="323" t="s">
        <v>115</v>
      </c>
      <c r="I43" s="324">
        <f>SUMIF($D$3:$D$42,"ארץ",$I$3:$I$42)+SUMIF($D$3:$D$42,"פריפריה",$I$3:$I$42)</f>
        <v>0</v>
      </c>
      <c r="J43" s="214" t="s">
        <v>197</v>
      </c>
      <c r="K43" s="169">
        <f>+SUMIF($D$3:$D$42,"פריפריה",$M$3:$M$42)</f>
        <v>0</v>
      </c>
      <c r="L43" s="214" t="s">
        <v>115</v>
      </c>
      <c r="M43" s="213">
        <f>SUMIF($D$3:$D$42,"ארץ",$M$3:$M$42)+SUMIF($D$3:$D$42,"פריפריה",$M$3:$M$42)</f>
        <v>0</v>
      </c>
      <c r="N43" s="91"/>
      <c r="O43" s="175"/>
      <c r="P43" s="122"/>
      <c r="Q43" s="133">
        <f t="shared" si="4"/>
        <v>0</v>
      </c>
      <c r="R43" s="215" t="s">
        <v>115</v>
      </c>
      <c r="S43" s="216">
        <f>SUMIF($D$3:$D$42,"ארץ",$S$3:$S$42)+SUMIF($D$3:$D$42,"פריפריה",$S$3:$S$42)</f>
        <v>0</v>
      </c>
      <c r="T43" s="216"/>
      <c r="U43" s="216" t="s">
        <v>197</v>
      </c>
      <c r="V43" s="216">
        <f>+SUMIF($D$3:$D$42,"פריפריה",$S$3:$S$42)</f>
        <v>0</v>
      </c>
      <c r="W43" s="126"/>
      <c r="Y43" s="368"/>
    </row>
    <row r="44" spans="1:25" s="87" customFormat="1" ht="24" customHeight="1" x14ac:dyDescent="0.25">
      <c r="A44" s="315"/>
      <c r="B44" s="311"/>
      <c r="C44" s="223"/>
      <c r="D44" s="223"/>
      <c r="E44" s="223"/>
      <c r="F44" s="223"/>
      <c r="G44" s="223"/>
      <c r="H44" s="323" t="s">
        <v>125</v>
      </c>
      <c r="I44" s="324">
        <f>SUMIF($D$3:$D$42,"חו”ל",$I$3:$I$42)</f>
        <v>0</v>
      </c>
      <c r="J44" s="169"/>
      <c r="K44" s="169"/>
      <c r="L44" s="214" t="s">
        <v>125</v>
      </c>
      <c r="M44" s="213">
        <f>SUMIF($D$3:$D$42,"חו”ל",$M$3:$M$42)</f>
        <v>0</v>
      </c>
      <c r="N44" s="91"/>
      <c r="O44" s="175"/>
      <c r="P44" s="122"/>
      <c r="Q44" s="133"/>
      <c r="R44" s="215" t="s">
        <v>125</v>
      </c>
      <c r="S44" s="216">
        <f>SUMIF($D$3:$D$42,"חו”ל",$S$3:$S$42)</f>
        <v>0</v>
      </c>
      <c r="T44" s="216"/>
      <c r="U44" s="111"/>
      <c r="V44" s="173"/>
      <c r="W44" s="126"/>
      <c r="Y44" s="368"/>
    </row>
    <row r="45" spans="1:25" s="87" customFormat="1" ht="24" customHeight="1" thickBot="1" x14ac:dyDescent="0.3">
      <c r="A45" s="472"/>
      <c r="B45" s="473"/>
      <c r="C45" s="474"/>
      <c r="D45" s="474"/>
      <c r="E45" s="474"/>
      <c r="F45" s="474"/>
      <c r="G45" s="474"/>
      <c r="H45" s="476" t="s">
        <v>117</v>
      </c>
      <c r="I45" s="477">
        <f>I43+I44</f>
        <v>0</v>
      </c>
      <c r="J45" s="107"/>
      <c r="K45" s="107"/>
      <c r="L45" s="478" t="s">
        <v>117</v>
      </c>
      <c r="M45" s="479">
        <f>M43+M44</f>
        <v>0</v>
      </c>
      <c r="N45" s="108"/>
      <c r="O45" s="480"/>
      <c r="P45" s="123"/>
      <c r="Q45" s="481"/>
      <c r="R45" s="482" t="s">
        <v>117</v>
      </c>
      <c r="S45" s="483">
        <f>S43+S44</f>
        <v>0</v>
      </c>
      <c r="T45" s="483"/>
      <c r="U45" s="114"/>
      <c r="V45" s="115"/>
      <c r="W45" s="127"/>
      <c r="Y45" s="368"/>
    </row>
    <row r="46" spans="1:25" x14ac:dyDescent="0.2">
      <c r="O46" s="88"/>
      <c r="P46" s="86"/>
      <c r="V46" s="88"/>
    </row>
    <row r="47" spans="1:25" x14ac:dyDescent="0.2">
      <c r="P47" s="86"/>
    </row>
    <row r="48" spans="1:25" ht="12.75" customHeight="1" x14ac:dyDescent="0.2">
      <c r="A48" s="597" t="s">
        <v>101</v>
      </c>
      <c r="B48" s="597"/>
      <c r="N48" s="597" t="s">
        <v>99</v>
      </c>
      <c r="O48" s="597"/>
      <c r="U48" s="597" t="s">
        <v>99</v>
      </c>
      <c r="V48" s="597"/>
    </row>
    <row r="49" spans="1:22" ht="24.75" customHeight="1" x14ac:dyDescent="0.2">
      <c r="A49" s="83" t="s">
        <v>56</v>
      </c>
      <c r="B49" s="57" t="s">
        <v>13</v>
      </c>
      <c r="N49" s="56" t="s">
        <v>68</v>
      </c>
      <c r="O49" s="57" t="s">
        <v>69</v>
      </c>
      <c r="P49" s="86"/>
      <c r="U49" s="56" t="s">
        <v>68</v>
      </c>
      <c r="V49" s="57" t="s">
        <v>69</v>
      </c>
    </row>
    <row r="50" spans="1:22" ht="24.75" customHeight="1" x14ac:dyDescent="0.2">
      <c r="A50" s="58">
        <v>1</v>
      </c>
      <c r="B50" s="59" t="s">
        <v>57</v>
      </c>
      <c r="N50" s="58">
        <v>1</v>
      </c>
      <c r="O50" s="84" t="s">
        <v>66</v>
      </c>
      <c r="P50" s="86"/>
      <c r="U50" s="58">
        <v>1</v>
      </c>
      <c r="V50" s="84" t="s">
        <v>66</v>
      </c>
    </row>
    <row r="51" spans="1:22" ht="24.75" customHeight="1" x14ac:dyDescent="0.2">
      <c r="A51" s="58">
        <v>2</v>
      </c>
      <c r="B51" s="58" t="s">
        <v>58</v>
      </c>
      <c r="N51" s="58">
        <v>2</v>
      </c>
      <c r="O51" s="84" t="s">
        <v>65</v>
      </c>
      <c r="P51" s="86"/>
      <c r="U51" s="58">
        <v>2</v>
      </c>
      <c r="V51" s="84" t="s">
        <v>65</v>
      </c>
    </row>
    <row r="52" spans="1:22" ht="24.75" customHeight="1" x14ac:dyDescent="0.2">
      <c r="A52" s="58">
        <v>3</v>
      </c>
      <c r="B52" s="59" t="s">
        <v>59</v>
      </c>
      <c r="N52" s="58">
        <v>3</v>
      </c>
      <c r="O52" s="84" t="s">
        <v>64</v>
      </c>
      <c r="P52" s="86"/>
      <c r="U52" s="58">
        <v>3</v>
      </c>
      <c r="V52" s="84" t="s">
        <v>64</v>
      </c>
    </row>
    <row r="53" spans="1:22" ht="24.75" customHeight="1" x14ac:dyDescent="0.2">
      <c r="A53" s="58">
        <v>4</v>
      </c>
      <c r="B53" s="59" t="s">
        <v>60</v>
      </c>
      <c r="N53" s="58">
        <v>4</v>
      </c>
      <c r="O53" s="84" t="s">
        <v>67</v>
      </c>
      <c r="P53" s="86"/>
      <c r="U53" s="58">
        <v>4</v>
      </c>
      <c r="V53" s="84" t="s">
        <v>67</v>
      </c>
    </row>
    <row r="54" spans="1:22" ht="24.75" customHeight="1" x14ac:dyDescent="0.2">
      <c r="N54" s="58">
        <v>5</v>
      </c>
      <c r="O54" s="84" t="s">
        <v>103</v>
      </c>
      <c r="P54" s="86"/>
      <c r="U54" s="58">
        <v>5</v>
      </c>
      <c r="V54" s="84" t="s">
        <v>103</v>
      </c>
    </row>
    <row r="55" spans="1:22" ht="26.45" customHeight="1" x14ac:dyDescent="0.2">
      <c r="A55" s="612" t="s">
        <v>113</v>
      </c>
      <c r="B55" s="597"/>
      <c r="N55" s="58">
        <v>6</v>
      </c>
      <c r="O55" s="84" t="s">
        <v>20</v>
      </c>
      <c r="P55" s="86"/>
      <c r="U55" s="58">
        <v>6</v>
      </c>
      <c r="V55" s="84" t="s">
        <v>20</v>
      </c>
    </row>
    <row r="56" spans="1:22" x14ac:dyDescent="0.2">
      <c r="A56" s="56" t="s">
        <v>114</v>
      </c>
      <c r="B56" s="57" t="s">
        <v>13</v>
      </c>
      <c r="P56" s="86"/>
    </row>
    <row r="57" spans="1:22" ht="25.5" x14ac:dyDescent="0.2">
      <c r="A57" s="58" t="s">
        <v>115</v>
      </c>
      <c r="B57" s="59" t="s">
        <v>195</v>
      </c>
      <c r="P57" s="86"/>
    </row>
    <row r="58" spans="1:22" x14ac:dyDescent="0.2">
      <c r="A58" s="58" t="s">
        <v>125</v>
      </c>
      <c r="B58" s="59" t="s">
        <v>116</v>
      </c>
      <c r="P58" s="86"/>
    </row>
    <row r="59" spans="1:22" x14ac:dyDescent="0.2">
      <c r="A59" s="58" t="s">
        <v>194</v>
      </c>
      <c r="B59" s="59" t="s">
        <v>196</v>
      </c>
      <c r="P59" s="86"/>
    </row>
    <row r="60" spans="1:22" x14ac:dyDescent="0.2">
      <c r="P60" s="86"/>
    </row>
    <row r="61" spans="1:22" x14ac:dyDescent="0.2">
      <c r="A61" s="611" t="s">
        <v>188</v>
      </c>
      <c r="B61" s="597"/>
    </row>
    <row r="62" spans="1:22" x14ac:dyDescent="0.2">
      <c r="A62" s="56" t="s">
        <v>114</v>
      </c>
      <c r="B62" s="57" t="s">
        <v>13</v>
      </c>
    </row>
    <row r="63" spans="1:22" ht="25.5" x14ac:dyDescent="0.2">
      <c r="A63" s="59" t="s">
        <v>189</v>
      </c>
      <c r="B63" s="59" t="s">
        <v>189</v>
      </c>
    </row>
    <row r="64" spans="1:22" ht="38.25" x14ac:dyDescent="0.2">
      <c r="A64" s="59" t="s">
        <v>190</v>
      </c>
      <c r="B64" s="59" t="s">
        <v>190</v>
      </c>
    </row>
    <row r="66" spans="1:2" ht="25.5" x14ac:dyDescent="0.2">
      <c r="B66" s="35" t="s">
        <v>215</v>
      </c>
    </row>
    <row r="67" spans="1:2" x14ac:dyDescent="0.2">
      <c r="B67" s="35" t="s">
        <v>214</v>
      </c>
    </row>
    <row r="68" spans="1:2" x14ac:dyDescent="0.2">
      <c r="A68" s="460">
        <f>+'ראשי-פרטים כלליים וריכוז הוצאות'!C117</f>
        <v>1</v>
      </c>
    </row>
    <row r="69" spans="1:2" x14ac:dyDescent="0.2">
      <c r="A69">
        <f>VLOOKUP(+'ראשי-פרטים כלליים וריכוז הוצאות'!C117,'ראשי-פרטים כלליים וריכוז הוצאות'!$F$116:$L$130,4,0)</f>
        <v>1</v>
      </c>
    </row>
  </sheetData>
  <sheetProtection password="CAD0" sheet="1" objects="1" scenarios="1"/>
  <mergeCells count="10">
    <mergeCell ref="J1:L1"/>
    <mergeCell ref="A61:B61"/>
    <mergeCell ref="A55:B55"/>
    <mergeCell ref="S1:U1"/>
    <mergeCell ref="N48:O48"/>
    <mergeCell ref="U48:V48"/>
    <mergeCell ref="A1:C1"/>
    <mergeCell ref="A48:B48"/>
    <mergeCell ref="M1:N1"/>
    <mergeCell ref="Q1:R1"/>
  </mergeCells>
  <phoneticPr fontId="6" type="noConversion"/>
  <conditionalFormatting sqref="Q3:Q42">
    <cfRule type="cellIs" dxfId="53" priority="39" stopIfTrue="1" operator="notEqual">
      <formula>K3</formula>
    </cfRule>
  </conditionalFormatting>
  <conditionalFormatting sqref="M3:M42">
    <cfRule type="cellIs" dxfId="52" priority="40" stopIfTrue="1" operator="notEqual">
      <formula>I3</formula>
    </cfRule>
  </conditionalFormatting>
  <conditionalFormatting sqref="R3:R42 L3:L42">
    <cfRule type="cellIs" dxfId="51" priority="41" stopIfTrue="1" operator="notEqual">
      <formula>1-$O$1</formula>
    </cfRule>
  </conditionalFormatting>
  <conditionalFormatting sqref="T3:T42">
    <cfRule type="expression" dxfId="50" priority="42" stopIfTrue="1">
      <formula>"q1/'ראשי-פרטים כלליים וריכוז הוצאות'!$D$31&gt;0.299999"</formula>
    </cfRule>
  </conditionalFormatting>
  <conditionalFormatting sqref="K3:K42">
    <cfRule type="cellIs" dxfId="49" priority="43" stopIfTrue="1" operator="notEqual">
      <formula>I3</formula>
    </cfRule>
  </conditionalFormatting>
  <conditionalFormatting sqref="E36">
    <cfRule type="expression" dxfId="48" priority="16" stopIfTrue="1">
      <formula>W36=1</formula>
    </cfRule>
  </conditionalFormatting>
  <conditionalFormatting sqref="G3:G42">
    <cfRule type="expression" dxfId="47" priority="10" stopIfTrue="1">
      <formula>Y3=1</formula>
    </cfRule>
  </conditionalFormatting>
  <conditionalFormatting sqref="J3:J42">
    <cfRule type="cellIs" dxfId="46" priority="9" stopIfTrue="1" operator="notEqual">
      <formula>H3</formula>
    </cfRule>
  </conditionalFormatting>
  <conditionalFormatting sqref="C43">
    <cfRule type="expression" dxfId="45" priority="5">
      <formula>$A$68&lt;&gt;5</formula>
    </cfRule>
  </conditionalFormatting>
  <conditionalFormatting sqref="D43">
    <cfRule type="expression" dxfId="44" priority="4">
      <formula>$A$68&lt;&gt;5</formula>
    </cfRule>
  </conditionalFormatting>
  <conditionalFormatting sqref="F3:F42">
    <cfRule type="expression" dxfId="43" priority="3">
      <formula>AND(F3&gt;196,E3="מחיר לפי שעה")</formula>
    </cfRule>
  </conditionalFormatting>
  <conditionalFormatting sqref="A68:A69">
    <cfRule type="expression" dxfId="42" priority="2" stopIfTrue="1">
      <formula>OR($A$68=1,$A$68=3,$A$68=5,$A$68=6)</formula>
    </cfRule>
  </conditionalFormatting>
  <conditionalFormatting sqref="A1:XFD1048576">
    <cfRule type="expression" dxfId="41" priority="1">
      <formula>$A$69 = 0</formula>
    </cfRule>
  </conditionalFormatting>
  <dataValidations xWindow="547" yWindow="388" count="6">
    <dataValidation type="decimal" allowBlank="1" showInputMessage="1" showErrorMessage="1" errorTitle="תא מחושב בנוסחה" error="תא זה מחושב בנוסחה:_x000a_בידך לשנות את שתי העמודות מימין וע&quot;י כך לקבוע את הסכום המומלץ._x000a__x000a_על מנת להחזיר את המצב לקדמותו, נא הקישו על ביטול." promptTitle="תא מחושב בנוסחה" prompt="אין להקליד נתונים בעמודה זו" sqref="M3:M42">
      <formula1>K3*L3</formula1>
      <formula2>K3*L3</formula2>
    </dataValidation>
    <dataValidation type="list" allowBlank="1" showInputMessage="1" showErrorMessage="1" errorTitle="בודק מקצועי: נא בחר קוד נימוק" error="במידה והינך מעוניין בנימוק אחר, הקש חמש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קיצוץ אחיד_x000a_6.  אחר (נא פרט בעמודה משמאל)_x000a_" sqref="U3:U42 N3:N42">
      <formula1>$N$50:$N$55</formula1>
    </dataValidation>
    <dataValidation type="list" allowBlank="1" showErrorMessage="1" error="הצעת מחיר, _x000a_חוזה, _x000a_מחירון,_x000a_אמדן." promptTitle=" נא להקיש קוד עלות:" prompt="_x000a_הצעת מחיר._x000a_חוזה._x000a_מחירון.   _x000a_אמדן." sqref="H3:H42">
      <formula1>$B$50:$B$53</formula1>
    </dataValidation>
    <dataValidation type="decimal" allowBlank="1" showInputMessage="1" showErrorMessage="1" error="נא להזין הסכום בש&quot;ח באופן תקין" sqref="F3:G42">
      <formula1>0</formula1>
      <formula2>999999999</formula2>
    </dataValidation>
    <dataValidation type="list" allowBlank="1" showErrorMessage="1" errorTitle="נא בחר ביו מחיר קבוע ל מחיר לפי " promptTitle="נא  ציין סוג ההתקשות" prompt="קבוע  -  מחיר קבוע_x000a_שעה - מחיר לשעת עבודה" sqref="E3:E42">
      <formula1>$A$63:$A$64</formula1>
    </dataValidation>
    <dataValidation type="list" allowBlank="1" showInputMessage="1" showErrorMessage="1" errorTitle="נא בחר ביו קב&quot;מ ארץ לחו&quot;ל" promptTitle="נא  ציין את סוג הקב&quot;מ" prompt="בארץ – קב&quot;מ ישראלי _x000a_בחו&quot;ל – קב&quot;מ זר _x000a_כאשר בלשונית הראשית נבחר מסלול &quot;מו&quot;פ בפריפריה&quot;, ניתן לבחור גם:_x000a_בפריפריה -  קב&quot;מ ישראלי בפריפריה_x000a_" sqref="D3:D42">
      <formula1>IF($A$68=5,$A$57:$A$59,$A$57:$A$58)</formula1>
    </dataValidation>
  </dataValidations>
  <printOptions horizontalCentered="1" verticalCentered="1"/>
  <pageMargins left="0.27" right="0.43" top="0.17" bottom="0.37" header="0.13" footer="0.23"/>
  <pageSetup paperSize="9" scale="27" orientation="portrait" horizontalDpi="1200" verticalDpi="1200" r:id="rId1"/>
  <headerFooter alignWithMargins="0">
    <oddFooter>עמוד &amp;P מתוך &amp;N</oddFooter>
  </headerFooter>
  <ignoredErrors>
    <ignoredError sqref="G6:G42" unlocked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6">
    <tabColor indexed="42"/>
    <pageSetUpPr fitToPage="1"/>
  </sheetPr>
  <dimension ref="A1:Y69"/>
  <sheetViews>
    <sheetView showGridLines="0" rightToLeft="1" zoomScale="85" zoomScaleNormal="85" workbookViewId="0">
      <pane xSplit="1" ySplit="2" topLeftCell="B40" activePane="bottomRight" state="frozen"/>
      <selection pane="topRight" activeCell="B1" sqref="B1"/>
      <selection pane="bottomLeft" activeCell="A3" sqref="A3"/>
      <selection pane="bottomRight" activeCell="B93" sqref="B93"/>
    </sheetView>
  </sheetViews>
  <sheetFormatPr defaultColWidth="9.140625" defaultRowHeight="12.75" outlineLevelCol="1" x14ac:dyDescent="0.2"/>
  <cols>
    <col min="1" max="1" width="5.7109375" style="27" customWidth="1"/>
    <col min="2" max="2" width="25.28515625" style="27" customWidth="1"/>
    <col min="3" max="3" width="31" style="27" customWidth="1"/>
    <col min="4" max="4" width="13.7109375" style="27" customWidth="1"/>
    <col min="5" max="5" width="12.5703125" style="27" customWidth="1"/>
    <col min="6" max="6" width="10.7109375" style="27" customWidth="1"/>
    <col min="7" max="7" width="10.140625" style="27" customWidth="1"/>
    <col min="8" max="8" width="13.28515625" style="27" customWidth="1"/>
    <col min="9" max="9" width="12" style="27" customWidth="1" collapsed="1"/>
    <col min="10" max="10" width="12" style="27" customWidth="1"/>
    <col min="11" max="11" width="12" style="27" customWidth="1" collapsed="1"/>
    <col min="12" max="12" width="12.7109375" style="86" hidden="1" customWidth="1" outlineLevel="1"/>
    <col min="13" max="14" width="9.140625" style="27" hidden="1" customWidth="1" outlineLevel="1"/>
    <col min="15" max="15" width="23.85546875" style="27" hidden="1" customWidth="1" outlineLevel="1"/>
    <col min="16" max="16" width="12.85546875" style="27" hidden="1" customWidth="1" outlineLevel="1"/>
    <col min="17" max="17" width="23" style="27" hidden="1" customWidth="1" outlineLevel="1"/>
    <col min="18" max="18" width="7.140625" style="27" customWidth="1" collapsed="1"/>
    <col min="19" max="19" width="10" style="27" hidden="1" customWidth="1" outlineLevel="1"/>
    <col min="20" max="21" width="9.140625" style="27" hidden="1" customWidth="1" outlineLevel="1"/>
    <col min="22" max="22" width="17" style="27" hidden="1" customWidth="1" outlineLevel="1"/>
    <col min="23" max="23" width="11.140625" style="27" hidden="1" customWidth="1" outlineLevel="1"/>
    <col min="24" max="24" width="22.85546875" style="27" hidden="1" customWidth="1" outlineLevel="1"/>
    <col min="25" max="25" width="8.85546875" style="27" customWidth="1" collapsed="1"/>
    <col min="26" max="16384" width="9.140625" style="27"/>
  </cols>
  <sheetData>
    <row r="1" spans="1:25" s="85" customFormat="1" ht="72.75" customHeight="1" thickBot="1" x14ac:dyDescent="0.3">
      <c r="A1" s="614" t="s">
        <v>184</v>
      </c>
      <c r="B1" s="599"/>
      <c r="C1" s="599"/>
      <c r="D1" s="617" t="str">
        <f>IF(A59=6,B60,"")</f>
        <v/>
      </c>
      <c r="E1" s="618"/>
      <c r="F1" s="619"/>
      <c r="G1" s="33" t="s">
        <v>32</v>
      </c>
      <c r="H1" s="102">
        <f>'ראשי-פרטים כלליים וריכוז הוצאות'!F5</f>
        <v>0</v>
      </c>
      <c r="I1" s="617" t="str">
        <f>IF(A59=6,A61,"")</f>
        <v/>
      </c>
      <c r="J1" s="618"/>
      <c r="K1" s="619"/>
      <c r="L1" s="602" t="s">
        <v>138</v>
      </c>
      <c r="M1" s="603"/>
      <c r="N1" s="604"/>
      <c r="O1" s="595" t="s">
        <v>149</v>
      </c>
      <c r="P1" s="596"/>
      <c r="Q1" s="267">
        <v>0</v>
      </c>
      <c r="R1" s="120" t="s">
        <v>72</v>
      </c>
      <c r="S1" s="605" t="s">
        <v>247</v>
      </c>
      <c r="T1" s="606"/>
      <c r="U1" s="607"/>
      <c r="V1" s="615" t="s">
        <v>104</v>
      </c>
      <c r="W1" s="616"/>
      <c r="X1" s="118"/>
      <c r="Y1" s="124" t="s">
        <v>221</v>
      </c>
    </row>
    <row r="2" spans="1:25" ht="50.45" customHeight="1" x14ac:dyDescent="0.2">
      <c r="A2" s="35" t="s">
        <v>0</v>
      </c>
      <c r="B2" s="35" t="s">
        <v>77</v>
      </c>
      <c r="C2" s="35" t="s">
        <v>210</v>
      </c>
      <c r="D2" s="35" t="s">
        <v>253</v>
      </c>
      <c r="E2" s="35" t="s">
        <v>182</v>
      </c>
      <c r="F2" s="35" t="s">
        <v>260</v>
      </c>
      <c r="G2" s="35" t="s">
        <v>261</v>
      </c>
      <c r="H2" s="35" t="s">
        <v>208</v>
      </c>
      <c r="I2" s="140" t="s">
        <v>63</v>
      </c>
      <c r="J2" s="35" t="s">
        <v>211</v>
      </c>
      <c r="K2" s="140" t="s">
        <v>183</v>
      </c>
      <c r="L2" s="156" t="s">
        <v>218</v>
      </c>
      <c r="M2" s="68" t="s">
        <v>62</v>
      </c>
      <c r="N2" s="68" t="s">
        <v>73</v>
      </c>
      <c r="O2" s="68" t="s">
        <v>71</v>
      </c>
      <c r="P2" s="68" t="s">
        <v>152</v>
      </c>
      <c r="Q2" s="116" t="s">
        <v>24</v>
      </c>
      <c r="R2" s="121"/>
      <c r="S2" s="119" t="s">
        <v>218</v>
      </c>
      <c r="T2" s="110" t="s">
        <v>62</v>
      </c>
      <c r="U2" s="110" t="s">
        <v>73</v>
      </c>
      <c r="V2" s="110" t="s">
        <v>102</v>
      </c>
      <c r="W2" s="110" t="s">
        <v>98</v>
      </c>
      <c r="X2" s="117" t="s">
        <v>24</v>
      </c>
      <c r="Y2" s="125"/>
    </row>
    <row r="3" spans="1:25" s="87" customFormat="1" ht="24" customHeight="1" x14ac:dyDescent="0.2">
      <c r="A3" s="312">
        <v>1</v>
      </c>
      <c r="B3" s="306"/>
      <c r="C3" s="313"/>
      <c r="D3" s="313"/>
      <c r="E3" s="313"/>
      <c r="F3" s="308"/>
      <c r="G3" s="366"/>
      <c r="H3" s="309"/>
      <c r="I3" s="310">
        <f t="shared" ref="I3:I42" si="0">F3*G3</f>
        <v>0</v>
      </c>
      <c r="J3" s="308"/>
      <c r="K3" s="310">
        <f>IF(AND(D3="פטנט",140000-J3&gt;0),IF(D3="פטנט",MIN(140000-J3,(G3*F3)),G3*F3)*IF($D$44&gt;5,0,1),I3)</f>
        <v>0</v>
      </c>
      <c r="L3" s="157">
        <f>IF(K3&gt;0,K3/G3,0)</f>
        <v>0</v>
      </c>
      <c r="M3" s="64">
        <f t="shared" ref="M3:M42" si="1">G3</f>
        <v>0</v>
      </c>
      <c r="N3" s="279">
        <f t="shared" ref="N3:N42" si="2">IF($Q$1&gt;0,1-$Q$1,100%)</f>
        <v>1</v>
      </c>
      <c r="O3" s="91">
        <f t="shared" ref="O3:O42" si="3">L3*M3*N3</f>
        <v>0</v>
      </c>
      <c r="P3" s="92"/>
      <c r="Q3" s="106" t="str">
        <f>IF(P3&gt;0,(VLOOKUP(P3,$P$50:$Q$55,2,0)),"")</f>
        <v/>
      </c>
      <c r="R3" s="122"/>
      <c r="S3" s="105">
        <f t="shared" ref="S3:S42" si="4">L3</f>
        <v>0</v>
      </c>
      <c r="T3" s="63">
        <f t="shared" ref="T3:T42" si="5">M3</f>
        <v>0</v>
      </c>
      <c r="U3" s="90">
        <f t="shared" ref="U3:U42" si="6">IF($X$1&gt;0,((1-$X$1)*(1-$Q$1)),N3)</f>
        <v>1</v>
      </c>
      <c r="V3" s="111">
        <f>S3*T3*U3</f>
        <v>0</v>
      </c>
      <c r="W3" s="92"/>
      <c r="X3" s="106" t="str">
        <f>IF(W3&gt;0,(VLOOKUP(W3,$P$50:$Q$55,2,0)),"")</f>
        <v/>
      </c>
      <c r="Y3" s="126"/>
    </row>
    <row r="4" spans="1:25" s="87" customFormat="1" ht="24" customHeight="1" x14ac:dyDescent="0.2">
      <c r="A4" s="312">
        <v>2</v>
      </c>
      <c r="B4" s="306"/>
      <c r="C4" s="313"/>
      <c r="D4" s="313"/>
      <c r="E4" s="313"/>
      <c r="F4" s="308"/>
      <c r="G4" s="366">
        <f t="shared" ref="G4:G42" si="7">IF(D4="פטנט",1,)</f>
        <v>0</v>
      </c>
      <c r="H4" s="309"/>
      <c r="I4" s="310">
        <f t="shared" si="0"/>
        <v>0</v>
      </c>
      <c r="J4" s="308"/>
      <c r="K4" s="310">
        <f>IF(AND(D4="פטנט",140000-J4&gt;0),IF(D4="פטנט",MIN(140000-J4,(G4*F4)),G4*F4)*IF($D$44&gt;5,0,1),I4)</f>
        <v>0</v>
      </c>
      <c r="L4" s="157">
        <f t="shared" ref="L4:L42" si="8">IF(K4&gt;0,K4/G4,0)</f>
        <v>0</v>
      </c>
      <c r="M4" s="64">
        <f t="shared" si="1"/>
        <v>0</v>
      </c>
      <c r="N4" s="279">
        <f t="shared" si="2"/>
        <v>1</v>
      </c>
      <c r="O4" s="91">
        <f t="shared" si="3"/>
        <v>0</v>
      </c>
      <c r="P4" s="92"/>
      <c r="Q4" s="106" t="str">
        <f>IF(P4&gt;0,(VLOOKUP(P4,$P$50:$Q$55,2,0)),"")</f>
        <v/>
      </c>
      <c r="R4" s="122"/>
      <c r="S4" s="105">
        <f t="shared" si="4"/>
        <v>0</v>
      </c>
      <c r="T4" s="63">
        <f t="shared" si="5"/>
        <v>0</v>
      </c>
      <c r="U4" s="90">
        <f t="shared" si="6"/>
        <v>1</v>
      </c>
      <c r="V4" s="111">
        <f t="shared" ref="V4:V42" si="9">S4*T4*U4</f>
        <v>0</v>
      </c>
      <c r="W4" s="92"/>
      <c r="X4" s="106" t="str">
        <f>IF(W4&gt;0,(VLOOKUP(W4,$P$50:$Q$55,2,0)),"")</f>
        <v/>
      </c>
      <c r="Y4" s="126"/>
    </row>
    <row r="5" spans="1:25" s="87" customFormat="1" ht="24" customHeight="1" x14ac:dyDescent="0.2">
      <c r="A5" s="312">
        <v>3</v>
      </c>
      <c r="B5" s="306"/>
      <c r="C5" s="313"/>
      <c r="D5" s="313"/>
      <c r="E5" s="313"/>
      <c r="F5" s="308"/>
      <c r="G5" s="366">
        <f t="shared" si="7"/>
        <v>0</v>
      </c>
      <c r="H5" s="309"/>
      <c r="I5" s="310">
        <f t="shared" si="0"/>
        <v>0</v>
      </c>
      <c r="J5" s="308"/>
      <c r="K5" s="310">
        <f>IF(AND(D5="פטנט",140000-J5&gt;0),IF(D5="פטנט",MIN(140000-J5,(G5*F5)),G5*F5)*IF($D$44&gt;5,0,1),I5)</f>
        <v>0</v>
      </c>
      <c r="L5" s="157">
        <f t="shared" si="8"/>
        <v>0</v>
      </c>
      <c r="M5" s="64">
        <f t="shared" si="1"/>
        <v>0</v>
      </c>
      <c r="N5" s="279">
        <f t="shared" si="2"/>
        <v>1</v>
      </c>
      <c r="O5" s="91">
        <f t="shared" si="3"/>
        <v>0</v>
      </c>
      <c r="P5" s="92"/>
      <c r="Q5" s="106" t="str">
        <f>IF(P5&gt;0,(VLOOKUP(P5,$P$50:$Q$55,2,0)),"")</f>
        <v/>
      </c>
      <c r="R5" s="122"/>
      <c r="S5" s="105">
        <f t="shared" si="4"/>
        <v>0</v>
      </c>
      <c r="T5" s="63">
        <f t="shared" si="5"/>
        <v>0</v>
      </c>
      <c r="U5" s="90">
        <f t="shared" si="6"/>
        <v>1</v>
      </c>
      <c r="V5" s="111">
        <f t="shared" si="9"/>
        <v>0</v>
      </c>
      <c r="W5" s="92"/>
      <c r="X5" s="106" t="str">
        <f>IF(W5&gt;0,(VLOOKUP(W5,$P$50:$Q$55,2,0)),"")</f>
        <v/>
      </c>
      <c r="Y5" s="126"/>
    </row>
    <row r="6" spans="1:25" s="87" customFormat="1" ht="24" customHeight="1" x14ac:dyDescent="0.2">
      <c r="A6" s="312">
        <v>4</v>
      </c>
      <c r="B6" s="306"/>
      <c r="C6" s="313"/>
      <c r="D6" s="313"/>
      <c r="E6" s="313"/>
      <c r="F6" s="308"/>
      <c r="G6" s="366">
        <f t="shared" si="7"/>
        <v>0</v>
      </c>
      <c r="H6" s="309"/>
      <c r="I6" s="310">
        <f t="shared" si="0"/>
        <v>0</v>
      </c>
      <c r="J6" s="308"/>
      <c r="K6" s="310">
        <f>IF(AND(D6="פטנט",140000-J6&gt;0),IF(D6="פטנט",MIN(140000-J6,(G6*F6)),G6*F6)*IF($D$44&gt;5,0,1),I6)</f>
        <v>0</v>
      </c>
      <c r="L6" s="157">
        <f t="shared" si="8"/>
        <v>0</v>
      </c>
      <c r="M6" s="64">
        <f t="shared" si="1"/>
        <v>0</v>
      </c>
      <c r="N6" s="279">
        <f t="shared" si="2"/>
        <v>1</v>
      </c>
      <c r="O6" s="91">
        <f t="shared" si="3"/>
        <v>0</v>
      </c>
      <c r="P6" s="92"/>
      <c r="Q6" s="106" t="str">
        <f>IF(P6&gt;0,(VLOOKUP(P6,$P$50:$Q$55,2,0)),"")</f>
        <v/>
      </c>
      <c r="R6" s="122"/>
      <c r="S6" s="105">
        <f t="shared" si="4"/>
        <v>0</v>
      </c>
      <c r="T6" s="63">
        <f t="shared" si="5"/>
        <v>0</v>
      </c>
      <c r="U6" s="90">
        <f t="shared" si="6"/>
        <v>1</v>
      </c>
      <c r="V6" s="111">
        <f t="shared" si="9"/>
        <v>0</v>
      </c>
      <c r="W6" s="92"/>
      <c r="X6" s="106" t="str">
        <f>IF(W6&gt;0,(VLOOKUP(W6,$P$50:$Q$55,2,0)),"")</f>
        <v/>
      </c>
      <c r="Y6" s="126"/>
    </row>
    <row r="7" spans="1:25" s="87" customFormat="1" ht="24" customHeight="1" x14ac:dyDescent="0.2">
      <c r="A7" s="312">
        <v>5</v>
      </c>
      <c r="B7" s="306"/>
      <c r="C7" s="313"/>
      <c r="D7" s="313"/>
      <c r="E7" s="313"/>
      <c r="F7" s="308"/>
      <c r="G7" s="366">
        <f t="shared" si="7"/>
        <v>0</v>
      </c>
      <c r="H7" s="309"/>
      <c r="I7" s="310">
        <f t="shared" si="0"/>
        <v>0</v>
      </c>
      <c r="J7" s="308"/>
      <c r="K7" s="310">
        <f>IF(AND(D7="פטנט",140000-J7&gt;0),IF(D7="פטנט",MIN(140000-J7,(G7*F7)),G7*F7)*IF($D$44&gt;5,0,1),I7)</f>
        <v>0</v>
      </c>
      <c r="L7" s="157">
        <f t="shared" si="8"/>
        <v>0</v>
      </c>
      <c r="M7" s="64">
        <f t="shared" si="1"/>
        <v>0</v>
      </c>
      <c r="N7" s="279">
        <f t="shared" si="2"/>
        <v>1</v>
      </c>
      <c r="O7" s="91">
        <f t="shared" si="3"/>
        <v>0</v>
      </c>
      <c r="P7" s="92"/>
      <c r="Q7" s="106" t="str">
        <f>IF(P7&gt;0,(VLOOKUP(P7,$P$50:$Q$55,2,0)),"")</f>
        <v/>
      </c>
      <c r="R7" s="122"/>
      <c r="S7" s="105">
        <f t="shared" si="4"/>
        <v>0</v>
      </c>
      <c r="T7" s="63">
        <f t="shared" si="5"/>
        <v>0</v>
      </c>
      <c r="U7" s="90">
        <f t="shared" si="6"/>
        <v>1</v>
      </c>
      <c r="V7" s="111">
        <f t="shared" si="9"/>
        <v>0</v>
      </c>
      <c r="W7" s="92"/>
      <c r="X7" s="106" t="str">
        <f>IF(W7&gt;0,(VLOOKUP(W7,$P$50:$Q$55,2,0)),"")</f>
        <v/>
      </c>
      <c r="Y7" s="126"/>
    </row>
    <row r="8" spans="1:25" s="87" customFormat="1" ht="24" customHeight="1" x14ac:dyDescent="0.2">
      <c r="A8" s="312">
        <v>6</v>
      </c>
      <c r="B8" s="306"/>
      <c r="C8" s="313"/>
      <c r="D8" s="313"/>
      <c r="E8" s="313"/>
      <c r="F8" s="308"/>
      <c r="G8" s="366">
        <f t="shared" si="7"/>
        <v>0</v>
      </c>
      <c r="H8" s="309"/>
      <c r="I8" s="310">
        <f t="shared" si="0"/>
        <v>0</v>
      </c>
      <c r="J8" s="308"/>
      <c r="K8" s="310">
        <f>IF(AND(D8="פטנט",140000-J8&gt;0),IF(D8="פטנט",MIN(140000-J8,(G8*F8)),G8*F8)*IF($D$44&gt;5,0,1),I8)</f>
        <v>0</v>
      </c>
      <c r="L8" s="157">
        <f t="shared" si="8"/>
        <v>0</v>
      </c>
      <c r="M8" s="64">
        <f t="shared" si="1"/>
        <v>0</v>
      </c>
      <c r="N8" s="279">
        <f t="shared" si="2"/>
        <v>1</v>
      </c>
      <c r="O8" s="91">
        <f t="shared" si="3"/>
        <v>0</v>
      </c>
      <c r="P8" s="92"/>
      <c r="Q8" s="106" t="str">
        <f>IF(P8&gt;0,(VLOOKUP(P8,$P$50:$Q$55,2,0)),"")</f>
        <v/>
      </c>
      <c r="R8" s="122"/>
      <c r="S8" s="105">
        <f t="shared" si="4"/>
        <v>0</v>
      </c>
      <c r="T8" s="63">
        <f t="shared" si="5"/>
        <v>0</v>
      </c>
      <c r="U8" s="90">
        <f t="shared" si="6"/>
        <v>1</v>
      </c>
      <c r="V8" s="111">
        <f t="shared" si="9"/>
        <v>0</v>
      </c>
      <c r="W8" s="92"/>
      <c r="X8" s="106" t="str">
        <f>IF(W8&gt;0,(VLOOKUP(W8,$P$50:$Q$55,2,0)),"")</f>
        <v/>
      </c>
      <c r="Y8" s="126"/>
    </row>
    <row r="9" spans="1:25" s="87" customFormat="1" ht="24" customHeight="1" x14ac:dyDescent="0.2">
      <c r="A9" s="312">
        <v>7</v>
      </c>
      <c r="B9" s="306"/>
      <c r="C9" s="313"/>
      <c r="D9" s="313"/>
      <c r="E9" s="313"/>
      <c r="F9" s="308"/>
      <c r="G9" s="366">
        <f t="shared" si="7"/>
        <v>0</v>
      </c>
      <c r="H9" s="309"/>
      <c r="I9" s="310">
        <f t="shared" si="0"/>
        <v>0</v>
      </c>
      <c r="J9" s="308"/>
      <c r="K9" s="310">
        <f>IF(AND(D9="פטנט",140000-J9&gt;0),IF(D9="פטנט",MIN(140000-J9,(G9*F9)),G9*F9)*IF($D$44&gt;5,0,1),I9)</f>
        <v>0</v>
      </c>
      <c r="L9" s="157">
        <f t="shared" si="8"/>
        <v>0</v>
      </c>
      <c r="M9" s="64">
        <f t="shared" si="1"/>
        <v>0</v>
      </c>
      <c r="N9" s="279">
        <f t="shared" si="2"/>
        <v>1</v>
      </c>
      <c r="O9" s="91">
        <f t="shared" si="3"/>
        <v>0</v>
      </c>
      <c r="P9" s="92"/>
      <c r="Q9" s="106" t="str">
        <f>IF(P9&gt;0,(VLOOKUP(P9,$P$50:$Q$55,2,0)),"")</f>
        <v/>
      </c>
      <c r="R9" s="122"/>
      <c r="S9" s="105">
        <f t="shared" si="4"/>
        <v>0</v>
      </c>
      <c r="T9" s="63">
        <f t="shared" si="5"/>
        <v>0</v>
      </c>
      <c r="U9" s="90">
        <f t="shared" si="6"/>
        <v>1</v>
      </c>
      <c r="V9" s="111">
        <f t="shared" si="9"/>
        <v>0</v>
      </c>
      <c r="W9" s="92"/>
      <c r="X9" s="106" t="str">
        <f>IF(W9&gt;0,(VLOOKUP(W9,$P$50:$Q$55,2,0)),"")</f>
        <v/>
      </c>
      <c r="Y9" s="126"/>
    </row>
    <row r="10" spans="1:25" s="87" customFormat="1" ht="24" customHeight="1" x14ac:dyDescent="0.2">
      <c r="A10" s="312">
        <v>8</v>
      </c>
      <c r="B10" s="306"/>
      <c r="C10" s="314"/>
      <c r="D10" s="313"/>
      <c r="E10" s="314"/>
      <c r="F10" s="308"/>
      <c r="G10" s="366">
        <f t="shared" si="7"/>
        <v>0</v>
      </c>
      <c r="H10" s="309"/>
      <c r="I10" s="310">
        <f t="shared" si="0"/>
        <v>0</v>
      </c>
      <c r="J10" s="308"/>
      <c r="K10" s="310">
        <f>IF(AND(D10="פטנט",140000-J10&gt;0),IF(D10="פטנט",MIN(140000-J10,(G10*F10)),G10*F10)*IF($D$44&gt;5,0,1),I10)</f>
        <v>0</v>
      </c>
      <c r="L10" s="157">
        <f t="shared" si="8"/>
        <v>0</v>
      </c>
      <c r="M10" s="64">
        <f t="shared" si="1"/>
        <v>0</v>
      </c>
      <c r="N10" s="279">
        <f t="shared" si="2"/>
        <v>1</v>
      </c>
      <c r="O10" s="91">
        <f t="shared" si="3"/>
        <v>0</v>
      </c>
      <c r="P10" s="92"/>
      <c r="Q10" s="106" t="str">
        <f>IF(P10&gt;0,(VLOOKUP(P10,$P$50:$Q$55,2,0)),"")</f>
        <v/>
      </c>
      <c r="R10" s="122"/>
      <c r="S10" s="105">
        <f t="shared" si="4"/>
        <v>0</v>
      </c>
      <c r="T10" s="63">
        <f t="shared" si="5"/>
        <v>0</v>
      </c>
      <c r="U10" s="90">
        <f t="shared" si="6"/>
        <v>1</v>
      </c>
      <c r="V10" s="111">
        <f t="shared" si="9"/>
        <v>0</v>
      </c>
      <c r="W10" s="92"/>
      <c r="X10" s="106" t="str">
        <f>IF(W10&gt;0,(VLOOKUP(W10,$P$50:$Q$55,2,0)),"")</f>
        <v/>
      </c>
      <c r="Y10" s="126"/>
    </row>
    <row r="11" spans="1:25" s="87" customFormat="1" ht="24" customHeight="1" x14ac:dyDescent="0.2">
      <c r="A11" s="312">
        <v>9</v>
      </c>
      <c r="B11" s="306"/>
      <c r="C11" s="314"/>
      <c r="D11" s="313"/>
      <c r="E11" s="314"/>
      <c r="F11" s="308"/>
      <c r="G11" s="366">
        <f t="shared" si="7"/>
        <v>0</v>
      </c>
      <c r="H11" s="309"/>
      <c r="I11" s="310">
        <f t="shared" si="0"/>
        <v>0</v>
      </c>
      <c r="J11" s="308"/>
      <c r="K11" s="310">
        <f>IF(AND(D11="פטנט",140000-J11&gt;0),IF(D11="פטנט",MIN(140000-J11,(G11*F11)),G11*F11)*IF($D$44&gt;5,0,1),I11)</f>
        <v>0</v>
      </c>
      <c r="L11" s="157">
        <f t="shared" si="8"/>
        <v>0</v>
      </c>
      <c r="M11" s="64">
        <f t="shared" si="1"/>
        <v>0</v>
      </c>
      <c r="N11" s="279">
        <f t="shared" si="2"/>
        <v>1</v>
      </c>
      <c r="O11" s="91">
        <f t="shared" si="3"/>
        <v>0</v>
      </c>
      <c r="P11" s="92"/>
      <c r="Q11" s="106" t="str">
        <f>IF(P11&gt;0,(VLOOKUP(P11,$P$50:$Q$55,2,0)),"")</f>
        <v/>
      </c>
      <c r="R11" s="122"/>
      <c r="S11" s="105">
        <f t="shared" si="4"/>
        <v>0</v>
      </c>
      <c r="T11" s="63">
        <f t="shared" si="5"/>
        <v>0</v>
      </c>
      <c r="U11" s="90">
        <f t="shared" si="6"/>
        <v>1</v>
      </c>
      <c r="V11" s="111">
        <f t="shared" si="9"/>
        <v>0</v>
      </c>
      <c r="W11" s="92"/>
      <c r="X11" s="106" t="str">
        <f>IF(W11&gt;0,(VLOOKUP(W11,$P$50:$Q$55,2,0)),"")</f>
        <v/>
      </c>
      <c r="Y11" s="126"/>
    </row>
    <row r="12" spans="1:25" s="87" customFormat="1" ht="24" customHeight="1" x14ac:dyDescent="0.2">
      <c r="A12" s="312">
        <v>10</v>
      </c>
      <c r="B12" s="306"/>
      <c r="C12" s="314"/>
      <c r="D12" s="313"/>
      <c r="E12" s="314"/>
      <c r="F12" s="308"/>
      <c r="G12" s="366">
        <f t="shared" si="7"/>
        <v>0</v>
      </c>
      <c r="H12" s="309"/>
      <c r="I12" s="310">
        <f t="shared" si="0"/>
        <v>0</v>
      </c>
      <c r="J12" s="308"/>
      <c r="K12" s="310">
        <f>IF(AND(D12="פטנט",140000-J12&gt;0),IF(D12="פטנט",MIN(140000-J12,(G12*F12)),G12*F12)*IF($D$44&gt;5,0,1),I12)</f>
        <v>0</v>
      </c>
      <c r="L12" s="157">
        <f t="shared" si="8"/>
        <v>0</v>
      </c>
      <c r="M12" s="64">
        <f t="shared" si="1"/>
        <v>0</v>
      </c>
      <c r="N12" s="279">
        <f t="shared" si="2"/>
        <v>1</v>
      </c>
      <c r="O12" s="91">
        <f t="shared" si="3"/>
        <v>0</v>
      </c>
      <c r="P12" s="92"/>
      <c r="Q12" s="106" t="str">
        <f>IF(P12&gt;0,(VLOOKUP(P12,$P$50:$Q$55,2,0)),"")</f>
        <v/>
      </c>
      <c r="R12" s="122"/>
      <c r="S12" s="105">
        <f t="shared" si="4"/>
        <v>0</v>
      </c>
      <c r="T12" s="63">
        <f t="shared" si="5"/>
        <v>0</v>
      </c>
      <c r="U12" s="90">
        <f t="shared" si="6"/>
        <v>1</v>
      </c>
      <c r="V12" s="111">
        <f t="shared" si="9"/>
        <v>0</v>
      </c>
      <c r="W12" s="92"/>
      <c r="X12" s="106" t="str">
        <f>IF(W12&gt;0,(VLOOKUP(W12,$P$50:$Q$55,2,0)),"")</f>
        <v/>
      </c>
      <c r="Y12" s="126"/>
    </row>
    <row r="13" spans="1:25" s="87" customFormat="1" ht="24" customHeight="1" x14ac:dyDescent="0.2">
      <c r="A13" s="312">
        <v>11</v>
      </c>
      <c r="B13" s="306"/>
      <c r="C13" s="314"/>
      <c r="D13" s="313"/>
      <c r="E13" s="314"/>
      <c r="F13" s="308"/>
      <c r="G13" s="366">
        <f t="shared" si="7"/>
        <v>0</v>
      </c>
      <c r="H13" s="309"/>
      <c r="I13" s="310">
        <f t="shared" si="0"/>
        <v>0</v>
      </c>
      <c r="J13" s="308"/>
      <c r="K13" s="310">
        <f>IF(AND(D13="פטנט",140000-J13&gt;0),IF(D13="פטנט",MIN(140000-J13,(G13*F13)),G13*F13)*IF($D$44&gt;5,0,1),I13)</f>
        <v>0</v>
      </c>
      <c r="L13" s="157">
        <f t="shared" si="8"/>
        <v>0</v>
      </c>
      <c r="M13" s="64">
        <f t="shared" si="1"/>
        <v>0</v>
      </c>
      <c r="N13" s="279">
        <f t="shared" si="2"/>
        <v>1</v>
      </c>
      <c r="O13" s="91">
        <f t="shared" si="3"/>
        <v>0</v>
      </c>
      <c r="P13" s="92"/>
      <c r="Q13" s="106" t="str">
        <f>IF(P13&gt;0,(VLOOKUP(P13,$P$50:$Q$55,2,0)),"")</f>
        <v/>
      </c>
      <c r="R13" s="122"/>
      <c r="S13" s="105">
        <f t="shared" si="4"/>
        <v>0</v>
      </c>
      <c r="T13" s="63">
        <f t="shared" si="5"/>
        <v>0</v>
      </c>
      <c r="U13" s="90">
        <f t="shared" si="6"/>
        <v>1</v>
      </c>
      <c r="V13" s="111">
        <f t="shared" si="9"/>
        <v>0</v>
      </c>
      <c r="W13" s="92"/>
      <c r="X13" s="106" t="str">
        <f>IF(W13&gt;0,(VLOOKUP(W13,$P$50:$Q$55,2,0)),"")</f>
        <v/>
      </c>
      <c r="Y13" s="126"/>
    </row>
    <row r="14" spans="1:25" s="87" customFormat="1" ht="24" customHeight="1" x14ac:dyDescent="0.2">
      <c r="A14" s="312">
        <v>12</v>
      </c>
      <c r="B14" s="306"/>
      <c r="C14" s="314"/>
      <c r="D14" s="313"/>
      <c r="E14" s="314"/>
      <c r="F14" s="308"/>
      <c r="G14" s="366">
        <f t="shared" si="7"/>
        <v>0</v>
      </c>
      <c r="H14" s="309"/>
      <c r="I14" s="310">
        <f t="shared" si="0"/>
        <v>0</v>
      </c>
      <c r="J14" s="308"/>
      <c r="K14" s="310">
        <f>IF(AND(D14="פטנט",140000-J14&gt;0),IF(D14="פטנט",MIN(140000-J14,(G14*F14)),G14*F14)*IF($D$44&gt;5,0,1),I14)</f>
        <v>0</v>
      </c>
      <c r="L14" s="157">
        <f t="shared" si="8"/>
        <v>0</v>
      </c>
      <c r="M14" s="64">
        <f t="shared" si="1"/>
        <v>0</v>
      </c>
      <c r="N14" s="279">
        <f t="shared" si="2"/>
        <v>1</v>
      </c>
      <c r="O14" s="91">
        <f t="shared" si="3"/>
        <v>0</v>
      </c>
      <c r="P14" s="92"/>
      <c r="Q14" s="106" t="str">
        <f>IF(P14&gt;0,(VLOOKUP(P14,$P$50:$Q$55,2,0)),"")</f>
        <v/>
      </c>
      <c r="R14" s="122"/>
      <c r="S14" s="105">
        <f t="shared" si="4"/>
        <v>0</v>
      </c>
      <c r="T14" s="63">
        <f t="shared" si="5"/>
        <v>0</v>
      </c>
      <c r="U14" s="90">
        <f t="shared" si="6"/>
        <v>1</v>
      </c>
      <c r="V14" s="111">
        <f t="shared" si="9"/>
        <v>0</v>
      </c>
      <c r="W14" s="92"/>
      <c r="X14" s="106" t="str">
        <f>IF(W14&gt;0,(VLOOKUP(W14,$P$50:$Q$55,2,0)),"")</f>
        <v/>
      </c>
      <c r="Y14" s="126"/>
    </row>
    <row r="15" spans="1:25" s="87" customFormat="1" ht="24" customHeight="1" x14ac:dyDescent="0.2">
      <c r="A15" s="312">
        <v>13</v>
      </c>
      <c r="B15" s="306"/>
      <c r="C15" s="314"/>
      <c r="D15" s="313"/>
      <c r="E15" s="314"/>
      <c r="F15" s="308"/>
      <c r="G15" s="366">
        <f t="shared" si="7"/>
        <v>0</v>
      </c>
      <c r="H15" s="309"/>
      <c r="I15" s="310">
        <f t="shared" si="0"/>
        <v>0</v>
      </c>
      <c r="J15" s="308"/>
      <c r="K15" s="310">
        <f>IF(AND(D15="פטנט",140000-J15&gt;0),IF(D15="פטנט",MIN(140000-J15,(G15*F15)),G15*F15)*IF($D$44&gt;5,0,1),I15)</f>
        <v>0</v>
      </c>
      <c r="L15" s="157">
        <f t="shared" si="8"/>
        <v>0</v>
      </c>
      <c r="M15" s="64">
        <f t="shared" si="1"/>
        <v>0</v>
      </c>
      <c r="N15" s="279">
        <f t="shared" si="2"/>
        <v>1</v>
      </c>
      <c r="O15" s="91">
        <f t="shared" si="3"/>
        <v>0</v>
      </c>
      <c r="P15" s="92"/>
      <c r="Q15" s="106" t="str">
        <f>IF(P15&gt;0,(VLOOKUP(P15,$P$50:$Q$55,2,0)),"")</f>
        <v/>
      </c>
      <c r="R15" s="122"/>
      <c r="S15" s="105">
        <f t="shared" si="4"/>
        <v>0</v>
      </c>
      <c r="T15" s="63">
        <f t="shared" si="5"/>
        <v>0</v>
      </c>
      <c r="U15" s="90">
        <f t="shared" si="6"/>
        <v>1</v>
      </c>
      <c r="V15" s="111">
        <f t="shared" si="9"/>
        <v>0</v>
      </c>
      <c r="W15" s="92"/>
      <c r="X15" s="106" t="str">
        <f>IF(W15&gt;0,(VLOOKUP(W15,$P$50:$Q$55,2,0)),"")</f>
        <v/>
      </c>
      <c r="Y15" s="126"/>
    </row>
    <row r="16" spans="1:25" s="87" customFormat="1" ht="24" customHeight="1" x14ac:dyDescent="0.2">
      <c r="A16" s="312">
        <v>14</v>
      </c>
      <c r="B16" s="306"/>
      <c r="C16" s="314"/>
      <c r="D16" s="313"/>
      <c r="E16" s="314"/>
      <c r="F16" s="308"/>
      <c r="G16" s="366">
        <f t="shared" si="7"/>
        <v>0</v>
      </c>
      <c r="H16" s="309"/>
      <c r="I16" s="310">
        <f t="shared" si="0"/>
        <v>0</v>
      </c>
      <c r="J16" s="308"/>
      <c r="K16" s="310">
        <f>IF(AND(D16="פטנט",140000-J16&gt;0),IF(D16="פטנט",MIN(140000-J16,(G16*F16)),G16*F16)*IF($D$44&gt;5,0,1),I16)</f>
        <v>0</v>
      </c>
      <c r="L16" s="157">
        <f t="shared" si="8"/>
        <v>0</v>
      </c>
      <c r="M16" s="64">
        <f t="shared" si="1"/>
        <v>0</v>
      </c>
      <c r="N16" s="279">
        <f t="shared" si="2"/>
        <v>1</v>
      </c>
      <c r="O16" s="91">
        <f t="shared" si="3"/>
        <v>0</v>
      </c>
      <c r="P16" s="92"/>
      <c r="Q16" s="106" t="str">
        <f>IF(P16&gt;0,(VLOOKUP(P16,$P$50:$Q$55,2,0)),"")</f>
        <v/>
      </c>
      <c r="R16" s="122"/>
      <c r="S16" s="105">
        <f t="shared" si="4"/>
        <v>0</v>
      </c>
      <c r="T16" s="63">
        <f t="shared" si="5"/>
        <v>0</v>
      </c>
      <c r="U16" s="90">
        <f t="shared" si="6"/>
        <v>1</v>
      </c>
      <c r="V16" s="111">
        <f t="shared" si="9"/>
        <v>0</v>
      </c>
      <c r="W16" s="92"/>
      <c r="X16" s="106" t="str">
        <f>IF(W16&gt;0,(VLOOKUP(W16,$P$50:$Q$55,2,0)),"")</f>
        <v/>
      </c>
      <c r="Y16" s="126"/>
    </row>
    <row r="17" spans="1:25" s="87" customFormat="1" ht="24" customHeight="1" x14ac:dyDescent="0.2">
      <c r="A17" s="312">
        <v>15</v>
      </c>
      <c r="B17" s="306"/>
      <c r="C17" s="314"/>
      <c r="D17" s="313"/>
      <c r="E17" s="314"/>
      <c r="F17" s="308"/>
      <c r="G17" s="366">
        <f t="shared" si="7"/>
        <v>0</v>
      </c>
      <c r="H17" s="309"/>
      <c r="I17" s="310">
        <f t="shared" si="0"/>
        <v>0</v>
      </c>
      <c r="J17" s="308"/>
      <c r="K17" s="310">
        <f>IF(AND(D17="פטנט",140000-J17&gt;0),IF(D17="פטנט",MIN(140000-J17,(G17*F17)),G17*F17)*IF($D$44&gt;5,0,1),I17)</f>
        <v>0</v>
      </c>
      <c r="L17" s="157">
        <f t="shared" si="8"/>
        <v>0</v>
      </c>
      <c r="M17" s="64">
        <f t="shared" si="1"/>
        <v>0</v>
      </c>
      <c r="N17" s="279">
        <f t="shared" si="2"/>
        <v>1</v>
      </c>
      <c r="O17" s="91">
        <f t="shared" si="3"/>
        <v>0</v>
      </c>
      <c r="P17" s="92"/>
      <c r="Q17" s="106" t="str">
        <f>IF(P17&gt;0,(VLOOKUP(P17,$P$50:$Q$55,2,0)),"")</f>
        <v/>
      </c>
      <c r="R17" s="122"/>
      <c r="S17" s="105">
        <f t="shared" si="4"/>
        <v>0</v>
      </c>
      <c r="T17" s="63">
        <f t="shared" si="5"/>
        <v>0</v>
      </c>
      <c r="U17" s="90">
        <f t="shared" si="6"/>
        <v>1</v>
      </c>
      <c r="V17" s="111">
        <f t="shared" si="9"/>
        <v>0</v>
      </c>
      <c r="W17" s="92"/>
      <c r="X17" s="106" t="str">
        <f>IF(W17&gt;0,(VLOOKUP(W17,$P$50:$Q$55,2,0)),"")</f>
        <v/>
      </c>
      <c r="Y17" s="126"/>
    </row>
    <row r="18" spans="1:25" s="87" customFormat="1" ht="24" customHeight="1" x14ac:dyDescent="0.2">
      <c r="A18" s="312">
        <v>16</v>
      </c>
      <c r="B18" s="306"/>
      <c r="C18" s="314"/>
      <c r="D18" s="313"/>
      <c r="E18" s="314"/>
      <c r="F18" s="308"/>
      <c r="G18" s="366">
        <f t="shared" si="7"/>
        <v>0</v>
      </c>
      <c r="H18" s="309"/>
      <c r="I18" s="310">
        <f t="shared" si="0"/>
        <v>0</v>
      </c>
      <c r="J18" s="308"/>
      <c r="K18" s="310">
        <f>IF(AND(D18="פטנט",140000-J18&gt;0),IF(D18="פטנט",MIN(140000-J18,(G18*F18)),G18*F18)*IF($D$44&gt;5,0,1),I18)</f>
        <v>0</v>
      </c>
      <c r="L18" s="157">
        <f t="shared" si="8"/>
        <v>0</v>
      </c>
      <c r="M18" s="64">
        <f t="shared" si="1"/>
        <v>0</v>
      </c>
      <c r="N18" s="279">
        <f t="shared" si="2"/>
        <v>1</v>
      </c>
      <c r="O18" s="91">
        <f t="shared" si="3"/>
        <v>0</v>
      </c>
      <c r="P18" s="92"/>
      <c r="Q18" s="106" t="str">
        <f>IF(P18&gt;0,(VLOOKUP(P18,$P$50:$Q$55,2,0)),"")</f>
        <v/>
      </c>
      <c r="R18" s="122"/>
      <c r="S18" s="105">
        <f t="shared" si="4"/>
        <v>0</v>
      </c>
      <c r="T18" s="63">
        <f t="shared" si="5"/>
        <v>0</v>
      </c>
      <c r="U18" s="90">
        <f t="shared" si="6"/>
        <v>1</v>
      </c>
      <c r="V18" s="111">
        <f t="shared" si="9"/>
        <v>0</v>
      </c>
      <c r="W18" s="92"/>
      <c r="X18" s="106" t="str">
        <f>IF(W18&gt;0,(VLOOKUP(W18,$P$50:$Q$55,2,0)),"")</f>
        <v/>
      </c>
      <c r="Y18" s="126"/>
    </row>
    <row r="19" spans="1:25" s="87" customFormat="1" ht="24" customHeight="1" x14ac:dyDescent="0.2">
      <c r="A19" s="312">
        <v>17</v>
      </c>
      <c r="B19" s="306"/>
      <c r="C19" s="314"/>
      <c r="D19" s="313"/>
      <c r="E19" s="314"/>
      <c r="F19" s="308"/>
      <c r="G19" s="366">
        <f t="shared" si="7"/>
        <v>0</v>
      </c>
      <c r="H19" s="309"/>
      <c r="I19" s="310">
        <f t="shared" si="0"/>
        <v>0</v>
      </c>
      <c r="J19" s="308"/>
      <c r="K19" s="310">
        <f>IF(AND(D19="פטנט",140000-J19&gt;0),IF(D19="פטנט",MIN(140000-J19,(G19*F19)),G19*F19)*IF($D$44&gt;5,0,1),I19)</f>
        <v>0</v>
      </c>
      <c r="L19" s="157">
        <f t="shared" si="8"/>
        <v>0</v>
      </c>
      <c r="M19" s="64">
        <f t="shared" si="1"/>
        <v>0</v>
      </c>
      <c r="N19" s="279">
        <f t="shared" si="2"/>
        <v>1</v>
      </c>
      <c r="O19" s="91">
        <f t="shared" si="3"/>
        <v>0</v>
      </c>
      <c r="P19" s="92"/>
      <c r="Q19" s="106" t="str">
        <f>IF(P19&gt;0,(VLOOKUP(P19,$P$50:$Q$55,2,0)),"")</f>
        <v/>
      </c>
      <c r="R19" s="122"/>
      <c r="S19" s="105">
        <f t="shared" si="4"/>
        <v>0</v>
      </c>
      <c r="T19" s="63">
        <f t="shared" si="5"/>
        <v>0</v>
      </c>
      <c r="U19" s="90">
        <f t="shared" si="6"/>
        <v>1</v>
      </c>
      <c r="V19" s="111">
        <f t="shared" si="9"/>
        <v>0</v>
      </c>
      <c r="W19" s="92"/>
      <c r="X19" s="106" t="str">
        <f>IF(W19&gt;0,(VLOOKUP(W19,$P$50:$Q$55,2,0)),"")</f>
        <v/>
      </c>
      <c r="Y19" s="126"/>
    </row>
    <row r="20" spans="1:25" s="87" customFormat="1" ht="24" customHeight="1" x14ac:dyDescent="0.2">
      <c r="A20" s="312">
        <v>18</v>
      </c>
      <c r="B20" s="306"/>
      <c r="C20" s="314"/>
      <c r="D20" s="313"/>
      <c r="E20" s="314"/>
      <c r="F20" s="308"/>
      <c r="G20" s="366">
        <f t="shared" si="7"/>
        <v>0</v>
      </c>
      <c r="H20" s="309"/>
      <c r="I20" s="310">
        <f t="shared" si="0"/>
        <v>0</v>
      </c>
      <c r="J20" s="308"/>
      <c r="K20" s="310">
        <f>IF(AND(D20="פטנט",140000-J20&gt;0),IF(D20="פטנט",MIN(140000-J20,(G20*F20)),G20*F20)*IF($D$44&gt;5,0,1),I20)</f>
        <v>0</v>
      </c>
      <c r="L20" s="157">
        <f t="shared" si="8"/>
        <v>0</v>
      </c>
      <c r="M20" s="64">
        <f t="shared" si="1"/>
        <v>0</v>
      </c>
      <c r="N20" s="279">
        <f t="shared" si="2"/>
        <v>1</v>
      </c>
      <c r="O20" s="91">
        <f t="shared" si="3"/>
        <v>0</v>
      </c>
      <c r="P20" s="92"/>
      <c r="Q20" s="106" t="str">
        <f>IF(P20&gt;0,(VLOOKUP(P20,$P$50:$Q$55,2,0)),"")</f>
        <v/>
      </c>
      <c r="R20" s="122"/>
      <c r="S20" s="105">
        <f t="shared" si="4"/>
        <v>0</v>
      </c>
      <c r="T20" s="63">
        <f t="shared" si="5"/>
        <v>0</v>
      </c>
      <c r="U20" s="90">
        <f t="shared" si="6"/>
        <v>1</v>
      </c>
      <c r="V20" s="111">
        <f t="shared" si="9"/>
        <v>0</v>
      </c>
      <c r="W20" s="92"/>
      <c r="X20" s="106" t="str">
        <f>IF(W20&gt;0,(VLOOKUP(W20,$P$50:$Q$55,2,0)),"")</f>
        <v/>
      </c>
      <c r="Y20" s="126"/>
    </row>
    <row r="21" spans="1:25" s="87" customFormat="1" ht="24" customHeight="1" x14ac:dyDescent="0.2">
      <c r="A21" s="312">
        <v>19</v>
      </c>
      <c r="B21" s="306"/>
      <c r="C21" s="314"/>
      <c r="D21" s="313"/>
      <c r="E21" s="314"/>
      <c r="F21" s="308"/>
      <c r="G21" s="366">
        <f t="shared" si="7"/>
        <v>0</v>
      </c>
      <c r="H21" s="309"/>
      <c r="I21" s="310">
        <f t="shared" si="0"/>
        <v>0</v>
      </c>
      <c r="J21" s="308"/>
      <c r="K21" s="310">
        <f>IF(AND(D21="פטנט",140000-J21&gt;0),IF(D21="פטנט",MIN(140000-J21,(G21*F21)),G21*F21)*IF($D$44&gt;5,0,1),I21)</f>
        <v>0</v>
      </c>
      <c r="L21" s="157">
        <f t="shared" si="8"/>
        <v>0</v>
      </c>
      <c r="M21" s="64">
        <f t="shared" si="1"/>
        <v>0</v>
      </c>
      <c r="N21" s="279">
        <f t="shared" si="2"/>
        <v>1</v>
      </c>
      <c r="O21" s="91">
        <f t="shared" si="3"/>
        <v>0</v>
      </c>
      <c r="P21" s="92"/>
      <c r="Q21" s="106" t="str">
        <f>IF(P21&gt;0,(VLOOKUP(P21,$P$50:$Q$55,2,0)),"")</f>
        <v/>
      </c>
      <c r="R21" s="122"/>
      <c r="S21" s="105">
        <f t="shared" si="4"/>
        <v>0</v>
      </c>
      <c r="T21" s="63">
        <f t="shared" si="5"/>
        <v>0</v>
      </c>
      <c r="U21" s="90">
        <f t="shared" si="6"/>
        <v>1</v>
      </c>
      <c r="V21" s="111">
        <f t="shared" si="9"/>
        <v>0</v>
      </c>
      <c r="W21" s="92"/>
      <c r="X21" s="106" t="str">
        <f>IF(W21&gt;0,(VLOOKUP(W21,$P$50:$Q$55,2,0)),"")</f>
        <v/>
      </c>
      <c r="Y21" s="126"/>
    </row>
    <row r="22" spans="1:25" s="87" customFormat="1" ht="24" customHeight="1" x14ac:dyDescent="0.2">
      <c r="A22" s="312">
        <v>20</v>
      </c>
      <c r="B22" s="306"/>
      <c r="C22" s="314"/>
      <c r="D22" s="313"/>
      <c r="E22" s="314"/>
      <c r="F22" s="308"/>
      <c r="G22" s="366">
        <f t="shared" si="7"/>
        <v>0</v>
      </c>
      <c r="H22" s="309"/>
      <c r="I22" s="310">
        <f t="shared" si="0"/>
        <v>0</v>
      </c>
      <c r="J22" s="308"/>
      <c r="K22" s="310">
        <f>IF(AND(D22="פטנט",140000-J22&gt;0),IF(D22="פטנט",MIN(140000-J22,(G22*F22)),G22*F22)*IF($D$44&gt;5,0,1),I22)</f>
        <v>0</v>
      </c>
      <c r="L22" s="157">
        <f t="shared" si="8"/>
        <v>0</v>
      </c>
      <c r="M22" s="64">
        <f t="shared" si="1"/>
        <v>0</v>
      </c>
      <c r="N22" s="279">
        <f t="shared" si="2"/>
        <v>1</v>
      </c>
      <c r="O22" s="91">
        <f t="shared" si="3"/>
        <v>0</v>
      </c>
      <c r="P22" s="92"/>
      <c r="Q22" s="106" t="str">
        <f>IF(P22&gt;0,(VLOOKUP(P22,$P$50:$Q$55,2,0)),"")</f>
        <v/>
      </c>
      <c r="R22" s="122"/>
      <c r="S22" s="105">
        <f t="shared" si="4"/>
        <v>0</v>
      </c>
      <c r="T22" s="63">
        <f t="shared" si="5"/>
        <v>0</v>
      </c>
      <c r="U22" s="90">
        <f t="shared" si="6"/>
        <v>1</v>
      </c>
      <c r="V22" s="111">
        <f t="shared" si="9"/>
        <v>0</v>
      </c>
      <c r="W22" s="92"/>
      <c r="X22" s="106" t="str">
        <f>IF(W22&gt;0,(VLOOKUP(W22,$P$50:$Q$55,2,0)),"")</f>
        <v/>
      </c>
      <c r="Y22" s="126"/>
    </row>
    <row r="23" spans="1:25" s="87" customFormat="1" ht="24" customHeight="1" x14ac:dyDescent="0.2">
      <c r="A23" s="312">
        <v>21</v>
      </c>
      <c r="B23" s="306"/>
      <c r="C23" s="314"/>
      <c r="D23" s="313"/>
      <c r="E23" s="314"/>
      <c r="F23" s="308"/>
      <c r="G23" s="366">
        <f t="shared" si="7"/>
        <v>0</v>
      </c>
      <c r="H23" s="309"/>
      <c r="I23" s="310">
        <f t="shared" si="0"/>
        <v>0</v>
      </c>
      <c r="J23" s="308"/>
      <c r="K23" s="310">
        <f>IF(AND(D23="פטנט",140000-J23&gt;0),IF(D23="פטנט",MIN(140000-J23,(G23*F23)),G23*F23)*IF($D$44&gt;5,0,1),I23)</f>
        <v>0</v>
      </c>
      <c r="L23" s="157">
        <f t="shared" si="8"/>
        <v>0</v>
      </c>
      <c r="M23" s="64">
        <f t="shared" si="1"/>
        <v>0</v>
      </c>
      <c r="N23" s="279">
        <f t="shared" si="2"/>
        <v>1</v>
      </c>
      <c r="O23" s="91">
        <f t="shared" si="3"/>
        <v>0</v>
      </c>
      <c r="P23" s="92"/>
      <c r="Q23" s="106" t="str">
        <f>IF(P23&gt;0,(VLOOKUP(P23,$P$50:$Q$55,2,0)),"")</f>
        <v/>
      </c>
      <c r="R23" s="122"/>
      <c r="S23" s="105">
        <f t="shared" si="4"/>
        <v>0</v>
      </c>
      <c r="T23" s="63">
        <f t="shared" si="5"/>
        <v>0</v>
      </c>
      <c r="U23" s="90">
        <f t="shared" si="6"/>
        <v>1</v>
      </c>
      <c r="V23" s="111">
        <f t="shared" si="9"/>
        <v>0</v>
      </c>
      <c r="W23" s="92"/>
      <c r="X23" s="106" t="str">
        <f>IF(W23&gt;0,(VLOOKUP(W23,$P$50:$Q$55,2,0)),"")</f>
        <v/>
      </c>
      <c r="Y23" s="126"/>
    </row>
    <row r="24" spans="1:25" s="87" customFormat="1" ht="24" customHeight="1" x14ac:dyDescent="0.2">
      <c r="A24" s="312">
        <v>22</v>
      </c>
      <c r="B24" s="306"/>
      <c r="C24" s="314"/>
      <c r="D24" s="313"/>
      <c r="E24" s="314"/>
      <c r="F24" s="308"/>
      <c r="G24" s="366">
        <f t="shared" si="7"/>
        <v>0</v>
      </c>
      <c r="H24" s="309"/>
      <c r="I24" s="310">
        <f t="shared" si="0"/>
        <v>0</v>
      </c>
      <c r="J24" s="308"/>
      <c r="K24" s="310">
        <f>IF(AND(D24="פטנט",140000-J24&gt;0),IF(D24="פטנט",MIN(140000-J24,(G24*F24)),G24*F24)*IF($D$44&gt;5,0,1),I24)</f>
        <v>0</v>
      </c>
      <c r="L24" s="157">
        <f t="shared" si="8"/>
        <v>0</v>
      </c>
      <c r="M24" s="64">
        <f t="shared" si="1"/>
        <v>0</v>
      </c>
      <c r="N24" s="279">
        <f t="shared" si="2"/>
        <v>1</v>
      </c>
      <c r="O24" s="91">
        <f t="shared" si="3"/>
        <v>0</v>
      </c>
      <c r="P24" s="92"/>
      <c r="Q24" s="106" t="str">
        <f>IF(P24&gt;0,(VLOOKUP(P24,$P$50:$Q$55,2,0)),"")</f>
        <v/>
      </c>
      <c r="R24" s="122"/>
      <c r="S24" s="105">
        <f t="shared" si="4"/>
        <v>0</v>
      </c>
      <c r="T24" s="63">
        <f t="shared" si="5"/>
        <v>0</v>
      </c>
      <c r="U24" s="90">
        <f t="shared" si="6"/>
        <v>1</v>
      </c>
      <c r="V24" s="111">
        <f t="shared" si="9"/>
        <v>0</v>
      </c>
      <c r="W24" s="92"/>
      <c r="X24" s="106" t="str">
        <f>IF(W24&gt;0,(VLOOKUP(W24,$P$50:$Q$55,2,0)),"")</f>
        <v/>
      </c>
      <c r="Y24" s="126"/>
    </row>
    <row r="25" spans="1:25" s="87" customFormat="1" ht="24" customHeight="1" x14ac:dyDescent="0.2">
      <c r="A25" s="312">
        <v>23</v>
      </c>
      <c r="B25" s="306"/>
      <c r="C25" s="314"/>
      <c r="D25" s="313"/>
      <c r="E25" s="314"/>
      <c r="F25" s="308"/>
      <c r="G25" s="366">
        <f t="shared" si="7"/>
        <v>0</v>
      </c>
      <c r="H25" s="309"/>
      <c r="I25" s="310">
        <f t="shared" si="0"/>
        <v>0</v>
      </c>
      <c r="J25" s="308"/>
      <c r="K25" s="310">
        <f>IF(AND(D25="פטנט",140000-J25&gt;0),IF(D25="פטנט",MIN(140000-J25,(G25*F25)),G25*F25)*IF($D$44&gt;5,0,1),I25)</f>
        <v>0</v>
      </c>
      <c r="L25" s="157">
        <f t="shared" si="8"/>
        <v>0</v>
      </c>
      <c r="M25" s="64">
        <f t="shared" si="1"/>
        <v>0</v>
      </c>
      <c r="N25" s="279">
        <f t="shared" si="2"/>
        <v>1</v>
      </c>
      <c r="O25" s="91">
        <f t="shared" si="3"/>
        <v>0</v>
      </c>
      <c r="P25" s="92"/>
      <c r="Q25" s="106" t="str">
        <f>IF(P25&gt;0,(VLOOKUP(P25,$P$50:$Q$55,2,0)),"")</f>
        <v/>
      </c>
      <c r="R25" s="122"/>
      <c r="S25" s="105">
        <f t="shared" si="4"/>
        <v>0</v>
      </c>
      <c r="T25" s="63">
        <f t="shared" si="5"/>
        <v>0</v>
      </c>
      <c r="U25" s="90">
        <f t="shared" si="6"/>
        <v>1</v>
      </c>
      <c r="V25" s="111">
        <f t="shared" si="9"/>
        <v>0</v>
      </c>
      <c r="W25" s="92"/>
      <c r="X25" s="106" t="str">
        <f>IF(W25&gt;0,(VLOOKUP(W25,$P$50:$Q$55,2,0)),"")</f>
        <v/>
      </c>
      <c r="Y25" s="126"/>
    </row>
    <row r="26" spans="1:25" s="87" customFormat="1" ht="24" customHeight="1" x14ac:dyDescent="0.2">
      <c r="A26" s="312">
        <v>24</v>
      </c>
      <c r="B26" s="306"/>
      <c r="C26" s="314"/>
      <c r="D26" s="313"/>
      <c r="E26" s="314"/>
      <c r="F26" s="308"/>
      <c r="G26" s="366">
        <f t="shared" si="7"/>
        <v>0</v>
      </c>
      <c r="H26" s="309"/>
      <c r="I26" s="310">
        <f t="shared" si="0"/>
        <v>0</v>
      </c>
      <c r="J26" s="308"/>
      <c r="K26" s="310">
        <f>IF(AND(D26="פטנט",140000-J26&gt;0),IF(D26="פטנט",MIN(140000-J26,(G26*F26)),G26*F26)*IF($D$44&gt;5,0,1),I26)</f>
        <v>0</v>
      </c>
      <c r="L26" s="157">
        <f t="shared" si="8"/>
        <v>0</v>
      </c>
      <c r="M26" s="64">
        <f t="shared" si="1"/>
        <v>0</v>
      </c>
      <c r="N26" s="279">
        <f t="shared" si="2"/>
        <v>1</v>
      </c>
      <c r="O26" s="91">
        <f t="shared" si="3"/>
        <v>0</v>
      </c>
      <c r="P26" s="92"/>
      <c r="Q26" s="106" t="str">
        <f>IF(P26&gt;0,(VLOOKUP(P26,$P$50:$Q$55,2,0)),"")</f>
        <v/>
      </c>
      <c r="R26" s="122"/>
      <c r="S26" s="105">
        <f t="shared" si="4"/>
        <v>0</v>
      </c>
      <c r="T26" s="63">
        <f t="shared" si="5"/>
        <v>0</v>
      </c>
      <c r="U26" s="90">
        <f t="shared" si="6"/>
        <v>1</v>
      </c>
      <c r="V26" s="111">
        <f t="shared" si="9"/>
        <v>0</v>
      </c>
      <c r="W26" s="92"/>
      <c r="X26" s="106" t="str">
        <f>IF(W26&gt;0,(VLOOKUP(W26,$P$50:$Q$55,2,0)),"")</f>
        <v/>
      </c>
      <c r="Y26" s="126"/>
    </row>
    <row r="27" spans="1:25" s="87" customFormat="1" ht="24" customHeight="1" x14ac:dyDescent="0.2">
      <c r="A27" s="312">
        <v>25</v>
      </c>
      <c r="B27" s="306"/>
      <c r="C27" s="314"/>
      <c r="D27" s="313"/>
      <c r="E27" s="314"/>
      <c r="F27" s="308"/>
      <c r="G27" s="366">
        <f t="shared" si="7"/>
        <v>0</v>
      </c>
      <c r="H27" s="309"/>
      <c r="I27" s="310">
        <f t="shared" si="0"/>
        <v>0</v>
      </c>
      <c r="J27" s="308"/>
      <c r="K27" s="310">
        <f>IF(AND(D27="פטנט",140000-J27&gt;0),IF(D27="פטנט",MIN(140000-J27,(G27*F27)),G27*F27)*IF($D$44&gt;5,0,1),I27)</f>
        <v>0</v>
      </c>
      <c r="L27" s="157">
        <f t="shared" si="8"/>
        <v>0</v>
      </c>
      <c r="M27" s="64">
        <f t="shared" si="1"/>
        <v>0</v>
      </c>
      <c r="N27" s="279">
        <f t="shared" si="2"/>
        <v>1</v>
      </c>
      <c r="O27" s="91">
        <f t="shared" si="3"/>
        <v>0</v>
      </c>
      <c r="P27" s="92"/>
      <c r="Q27" s="106" t="str">
        <f>IF(P27&gt;0,(VLOOKUP(P27,$P$50:$Q$55,2,0)),"")</f>
        <v/>
      </c>
      <c r="R27" s="122"/>
      <c r="S27" s="105">
        <f t="shared" si="4"/>
        <v>0</v>
      </c>
      <c r="T27" s="63">
        <f t="shared" si="5"/>
        <v>0</v>
      </c>
      <c r="U27" s="90">
        <f t="shared" si="6"/>
        <v>1</v>
      </c>
      <c r="V27" s="111">
        <f t="shared" si="9"/>
        <v>0</v>
      </c>
      <c r="W27" s="92"/>
      <c r="X27" s="106" t="str">
        <f>IF(W27&gt;0,(VLOOKUP(W27,$P$50:$Q$55,2,0)),"")</f>
        <v/>
      </c>
      <c r="Y27" s="126"/>
    </row>
    <row r="28" spans="1:25" s="87" customFormat="1" ht="24" customHeight="1" x14ac:dyDescent="0.2">
      <c r="A28" s="312">
        <v>26</v>
      </c>
      <c r="B28" s="306"/>
      <c r="C28" s="314"/>
      <c r="D28" s="313"/>
      <c r="E28" s="314"/>
      <c r="F28" s="308"/>
      <c r="G28" s="366">
        <f t="shared" si="7"/>
        <v>0</v>
      </c>
      <c r="H28" s="309"/>
      <c r="I28" s="310">
        <f t="shared" si="0"/>
        <v>0</v>
      </c>
      <c r="J28" s="308"/>
      <c r="K28" s="310">
        <f>IF(AND(D28="פטנט",140000-J28&gt;0),IF(D28="פטנט",MIN(140000-J28,(G28*F28)),G28*F28)*IF($D$44&gt;5,0,1),I28)</f>
        <v>0</v>
      </c>
      <c r="L28" s="157">
        <f t="shared" si="8"/>
        <v>0</v>
      </c>
      <c r="M28" s="64">
        <f t="shared" si="1"/>
        <v>0</v>
      </c>
      <c r="N28" s="279">
        <f t="shared" si="2"/>
        <v>1</v>
      </c>
      <c r="O28" s="91">
        <f t="shared" si="3"/>
        <v>0</v>
      </c>
      <c r="P28" s="92"/>
      <c r="Q28" s="106" t="str">
        <f>IF(P28&gt;0,(VLOOKUP(P28,$P$50:$Q$55,2,0)),"")</f>
        <v/>
      </c>
      <c r="R28" s="122"/>
      <c r="S28" s="105">
        <f t="shared" si="4"/>
        <v>0</v>
      </c>
      <c r="T28" s="63">
        <f t="shared" si="5"/>
        <v>0</v>
      </c>
      <c r="U28" s="90">
        <f t="shared" si="6"/>
        <v>1</v>
      </c>
      <c r="V28" s="111">
        <f t="shared" si="9"/>
        <v>0</v>
      </c>
      <c r="W28" s="92"/>
      <c r="X28" s="106" t="str">
        <f>IF(W28&gt;0,(VLOOKUP(W28,$P$50:$Q$55,2,0)),"")</f>
        <v/>
      </c>
      <c r="Y28" s="126"/>
    </row>
    <row r="29" spans="1:25" s="87" customFormat="1" ht="24" customHeight="1" x14ac:dyDescent="0.2">
      <c r="A29" s="312">
        <v>27</v>
      </c>
      <c r="B29" s="306"/>
      <c r="C29" s="314"/>
      <c r="D29" s="313"/>
      <c r="E29" s="314"/>
      <c r="F29" s="308"/>
      <c r="G29" s="366">
        <f t="shared" si="7"/>
        <v>0</v>
      </c>
      <c r="H29" s="309"/>
      <c r="I29" s="310">
        <f t="shared" si="0"/>
        <v>0</v>
      </c>
      <c r="J29" s="308"/>
      <c r="K29" s="310">
        <f>IF(AND(D29="פטנט",140000-J29&gt;0),IF(D29="פטנט",MIN(140000-J29,(G29*F29)),G29*F29)*IF($D$44&gt;5,0,1),I29)</f>
        <v>0</v>
      </c>
      <c r="L29" s="157">
        <f t="shared" si="8"/>
        <v>0</v>
      </c>
      <c r="M29" s="64">
        <f t="shared" si="1"/>
        <v>0</v>
      </c>
      <c r="N29" s="279">
        <f t="shared" si="2"/>
        <v>1</v>
      </c>
      <c r="O29" s="91">
        <f t="shared" si="3"/>
        <v>0</v>
      </c>
      <c r="P29" s="92"/>
      <c r="Q29" s="106" t="str">
        <f>IF(P29&gt;0,(VLOOKUP(P29,$P$50:$Q$55,2,0)),"")</f>
        <v/>
      </c>
      <c r="R29" s="122"/>
      <c r="S29" s="105">
        <f t="shared" si="4"/>
        <v>0</v>
      </c>
      <c r="T29" s="63">
        <f t="shared" si="5"/>
        <v>0</v>
      </c>
      <c r="U29" s="90">
        <f t="shared" si="6"/>
        <v>1</v>
      </c>
      <c r="V29" s="111">
        <f t="shared" si="9"/>
        <v>0</v>
      </c>
      <c r="W29" s="92"/>
      <c r="X29" s="106" t="str">
        <f>IF(W29&gt;0,(VLOOKUP(W29,$P$50:$Q$55,2,0)),"")</f>
        <v/>
      </c>
      <c r="Y29" s="126"/>
    </row>
    <row r="30" spans="1:25" s="87" customFormat="1" ht="24" customHeight="1" x14ac:dyDescent="0.2">
      <c r="A30" s="312">
        <v>28</v>
      </c>
      <c r="B30" s="306"/>
      <c r="C30" s="314"/>
      <c r="D30" s="313"/>
      <c r="E30" s="314"/>
      <c r="F30" s="308"/>
      <c r="G30" s="366">
        <f t="shared" si="7"/>
        <v>0</v>
      </c>
      <c r="H30" s="309"/>
      <c r="I30" s="310">
        <f t="shared" si="0"/>
        <v>0</v>
      </c>
      <c r="J30" s="308"/>
      <c r="K30" s="310">
        <f>IF(AND(D30="פטנט",140000-J30&gt;0),IF(D30="פטנט",MIN(140000-J30,(G30*F30)),G30*F30)*IF($D$44&gt;5,0,1),I30)</f>
        <v>0</v>
      </c>
      <c r="L30" s="157">
        <f t="shared" si="8"/>
        <v>0</v>
      </c>
      <c r="M30" s="64">
        <f t="shared" si="1"/>
        <v>0</v>
      </c>
      <c r="N30" s="279">
        <f t="shared" si="2"/>
        <v>1</v>
      </c>
      <c r="O30" s="91">
        <f t="shared" si="3"/>
        <v>0</v>
      </c>
      <c r="P30" s="92"/>
      <c r="Q30" s="106" t="str">
        <f>IF(P30&gt;0,(VLOOKUP(P30,$P$50:$Q$55,2,0)),"")</f>
        <v/>
      </c>
      <c r="R30" s="122"/>
      <c r="S30" s="105">
        <f t="shared" si="4"/>
        <v>0</v>
      </c>
      <c r="T30" s="63">
        <f t="shared" si="5"/>
        <v>0</v>
      </c>
      <c r="U30" s="90">
        <f t="shared" si="6"/>
        <v>1</v>
      </c>
      <c r="V30" s="111">
        <f t="shared" si="9"/>
        <v>0</v>
      </c>
      <c r="W30" s="92"/>
      <c r="X30" s="106" t="str">
        <f>IF(W30&gt;0,(VLOOKUP(W30,$P$50:$Q$55,2,0)),"")</f>
        <v/>
      </c>
      <c r="Y30" s="126"/>
    </row>
    <row r="31" spans="1:25" s="87" customFormat="1" ht="24" customHeight="1" x14ac:dyDescent="0.2">
      <c r="A31" s="312">
        <v>29</v>
      </c>
      <c r="B31" s="306"/>
      <c r="C31" s="314"/>
      <c r="D31" s="313"/>
      <c r="E31" s="314"/>
      <c r="F31" s="308"/>
      <c r="G31" s="366">
        <f t="shared" si="7"/>
        <v>0</v>
      </c>
      <c r="H31" s="309"/>
      <c r="I31" s="310">
        <f t="shared" si="0"/>
        <v>0</v>
      </c>
      <c r="J31" s="308"/>
      <c r="K31" s="310">
        <f>IF(AND(D31="פטנט",140000-J31&gt;0),IF(D31="פטנט",MIN(140000-J31,(G31*F31)),G31*F31)*IF($D$44&gt;5,0,1),I31)</f>
        <v>0</v>
      </c>
      <c r="L31" s="157">
        <f t="shared" si="8"/>
        <v>0</v>
      </c>
      <c r="M31" s="64">
        <f t="shared" si="1"/>
        <v>0</v>
      </c>
      <c r="N31" s="279">
        <f t="shared" si="2"/>
        <v>1</v>
      </c>
      <c r="O31" s="91">
        <f t="shared" si="3"/>
        <v>0</v>
      </c>
      <c r="P31" s="92"/>
      <c r="Q31" s="106" t="str">
        <f>IF(P31&gt;0,(VLOOKUP(P31,$P$50:$Q$55,2,0)),"")</f>
        <v/>
      </c>
      <c r="R31" s="122"/>
      <c r="S31" s="105">
        <f t="shared" si="4"/>
        <v>0</v>
      </c>
      <c r="T31" s="63">
        <f t="shared" si="5"/>
        <v>0</v>
      </c>
      <c r="U31" s="90">
        <f t="shared" si="6"/>
        <v>1</v>
      </c>
      <c r="V31" s="111">
        <f t="shared" si="9"/>
        <v>0</v>
      </c>
      <c r="W31" s="92"/>
      <c r="X31" s="106" t="str">
        <f>IF(W31&gt;0,(VLOOKUP(W31,$P$50:$Q$55,2,0)),"")</f>
        <v/>
      </c>
      <c r="Y31" s="126"/>
    </row>
    <row r="32" spans="1:25" s="87" customFormat="1" ht="24" customHeight="1" x14ac:dyDescent="0.2">
      <c r="A32" s="312">
        <v>30</v>
      </c>
      <c r="B32" s="306"/>
      <c r="C32" s="314"/>
      <c r="D32" s="313"/>
      <c r="E32" s="314"/>
      <c r="F32" s="308"/>
      <c r="G32" s="366">
        <f t="shared" si="7"/>
        <v>0</v>
      </c>
      <c r="H32" s="309"/>
      <c r="I32" s="310">
        <f t="shared" si="0"/>
        <v>0</v>
      </c>
      <c r="J32" s="308"/>
      <c r="K32" s="310">
        <f>IF(AND(D32="פטנט",140000-J32&gt;0),IF(D32="פטנט",MIN(140000-J32,(G32*F32)),G32*F32)*IF($D$44&gt;5,0,1),I32)</f>
        <v>0</v>
      </c>
      <c r="L32" s="157">
        <f t="shared" si="8"/>
        <v>0</v>
      </c>
      <c r="M32" s="64">
        <f t="shared" si="1"/>
        <v>0</v>
      </c>
      <c r="N32" s="279">
        <f t="shared" si="2"/>
        <v>1</v>
      </c>
      <c r="O32" s="91">
        <f t="shared" si="3"/>
        <v>0</v>
      </c>
      <c r="P32" s="92"/>
      <c r="Q32" s="106" t="str">
        <f>IF(P32&gt;0,(VLOOKUP(P32,$P$50:$Q$55,2,0)),"")</f>
        <v/>
      </c>
      <c r="R32" s="122"/>
      <c r="S32" s="105">
        <f t="shared" si="4"/>
        <v>0</v>
      </c>
      <c r="T32" s="63">
        <f t="shared" si="5"/>
        <v>0</v>
      </c>
      <c r="U32" s="90">
        <f t="shared" si="6"/>
        <v>1</v>
      </c>
      <c r="V32" s="111">
        <f t="shared" si="9"/>
        <v>0</v>
      </c>
      <c r="W32" s="92"/>
      <c r="X32" s="106" t="str">
        <f>IF(W32&gt;0,(VLOOKUP(W32,$P$50:$Q$55,2,0)),"")</f>
        <v/>
      </c>
      <c r="Y32" s="126"/>
    </row>
    <row r="33" spans="1:25" s="87" customFormat="1" ht="24" customHeight="1" x14ac:dyDescent="0.2">
      <c r="A33" s="312">
        <v>31</v>
      </c>
      <c r="B33" s="306"/>
      <c r="C33" s="314"/>
      <c r="D33" s="313"/>
      <c r="E33" s="314"/>
      <c r="F33" s="308"/>
      <c r="G33" s="366">
        <f t="shared" si="7"/>
        <v>0</v>
      </c>
      <c r="H33" s="309"/>
      <c r="I33" s="310">
        <f t="shared" si="0"/>
        <v>0</v>
      </c>
      <c r="J33" s="308"/>
      <c r="K33" s="310">
        <f>IF(AND(D33="פטנט",140000-J33&gt;0),IF(D33="פטנט",MIN(140000-J33,(G33*F33)),G33*F33)*IF($D$44&gt;5,0,1),I33)</f>
        <v>0</v>
      </c>
      <c r="L33" s="157">
        <f t="shared" si="8"/>
        <v>0</v>
      </c>
      <c r="M33" s="64">
        <f t="shared" si="1"/>
        <v>0</v>
      </c>
      <c r="N33" s="279">
        <f t="shared" si="2"/>
        <v>1</v>
      </c>
      <c r="O33" s="91">
        <f t="shared" si="3"/>
        <v>0</v>
      </c>
      <c r="P33" s="92"/>
      <c r="Q33" s="106" t="str">
        <f>IF(P33&gt;0,(VLOOKUP(P33,$P$50:$Q$55,2,0)),"")</f>
        <v/>
      </c>
      <c r="R33" s="122"/>
      <c r="S33" s="105">
        <f t="shared" si="4"/>
        <v>0</v>
      </c>
      <c r="T33" s="63">
        <f t="shared" si="5"/>
        <v>0</v>
      </c>
      <c r="U33" s="90">
        <f t="shared" si="6"/>
        <v>1</v>
      </c>
      <c r="V33" s="111">
        <f t="shared" si="9"/>
        <v>0</v>
      </c>
      <c r="W33" s="92"/>
      <c r="X33" s="106" t="str">
        <f>IF(W33&gt;0,(VLOOKUP(W33,$P$50:$Q$55,2,0)),"")</f>
        <v/>
      </c>
      <c r="Y33" s="126"/>
    </row>
    <row r="34" spans="1:25" s="87" customFormat="1" ht="24" customHeight="1" x14ac:dyDescent="0.2">
      <c r="A34" s="312">
        <v>32</v>
      </c>
      <c r="B34" s="306"/>
      <c r="C34" s="314"/>
      <c r="D34" s="313"/>
      <c r="E34" s="314"/>
      <c r="F34" s="308"/>
      <c r="G34" s="366">
        <f t="shared" si="7"/>
        <v>0</v>
      </c>
      <c r="H34" s="309"/>
      <c r="I34" s="310">
        <f t="shared" si="0"/>
        <v>0</v>
      </c>
      <c r="J34" s="308"/>
      <c r="K34" s="310">
        <f>IF(AND(D34="פטנט",140000-J34&gt;0),IF(D34="פטנט",MIN(140000-J34,(G34*F34)),G34*F34)*IF($D$44&gt;5,0,1),I34)</f>
        <v>0</v>
      </c>
      <c r="L34" s="157">
        <f t="shared" si="8"/>
        <v>0</v>
      </c>
      <c r="M34" s="64">
        <f t="shared" si="1"/>
        <v>0</v>
      </c>
      <c r="N34" s="279">
        <f t="shared" si="2"/>
        <v>1</v>
      </c>
      <c r="O34" s="91">
        <f t="shared" si="3"/>
        <v>0</v>
      </c>
      <c r="P34" s="92"/>
      <c r="Q34" s="106" t="str">
        <f>IF(P34&gt;0,(VLOOKUP(P34,$P$50:$Q$55,2,0)),"")</f>
        <v/>
      </c>
      <c r="R34" s="122"/>
      <c r="S34" s="105">
        <f t="shared" si="4"/>
        <v>0</v>
      </c>
      <c r="T34" s="63">
        <f t="shared" si="5"/>
        <v>0</v>
      </c>
      <c r="U34" s="90">
        <f t="shared" si="6"/>
        <v>1</v>
      </c>
      <c r="V34" s="111">
        <f t="shared" si="9"/>
        <v>0</v>
      </c>
      <c r="W34" s="92"/>
      <c r="X34" s="106" t="str">
        <f>IF(W34&gt;0,(VLOOKUP(W34,$P$50:$Q$55,2,0)),"")</f>
        <v/>
      </c>
      <c r="Y34" s="126"/>
    </row>
    <row r="35" spans="1:25" s="87" customFormat="1" ht="24" customHeight="1" x14ac:dyDescent="0.2">
      <c r="A35" s="312">
        <v>33</v>
      </c>
      <c r="B35" s="306"/>
      <c r="C35" s="314"/>
      <c r="D35" s="313"/>
      <c r="E35" s="314"/>
      <c r="F35" s="308"/>
      <c r="G35" s="366">
        <f t="shared" si="7"/>
        <v>0</v>
      </c>
      <c r="H35" s="309"/>
      <c r="I35" s="310">
        <f t="shared" si="0"/>
        <v>0</v>
      </c>
      <c r="J35" s="308"/>
      <c r="K35" s="310">
        <f>IF(AND(D35="פטנט",140000-J35&gt;0),IF(D35="פטנט",MIN(140000-J35,(G35*F35)),G35*F35)*IF($D$44&gt;5,0,1),I35)</f>
        <v>0</v>
      </c>
      <c r="L35" s="157">
        <f t="shared" si="8"/>
        <v>0</v>
      </c>
      <c r="M35" s="64">
        <f t="shared" si="1"/>
        <v>0</v>
      </c>
      <c r="N35" s="279">
        <f t="shared" si="2"/>
        <v>1</v>
      </c>
      <c r="O35" s="91">
        <f t="shared" si="3"/>
        <v>0</v>
      </c>
      <c r="P35" s="92"/>
      <c r="Q35" s="106" t="str">
        <f>IF(P35&gt;0,(VLOOKUP(P35,$P$50:$Q$55,2,0)),"")</f>
        <v/>
      </c>
      <c r="R35" s="122"/>
      <c r="S35" s="105">
        <f t="shared" si="4"/>
        <v>0</v>
      </c>
      <c r="T35" s="63">
        <f t="shared" si="5"/>
        <v>0</v>
      </c>
      <c r="U35" s="90">
        <f t="shared" si="6"/>
        <v>1</v>
      </c>
      <c r="V35" s="111">
        <f t="shared" si="9"/>
        <v>0</v>
      </c>
      <c r="W35" s="92"/>
      <c r="X35" s="106" t="str">
        <f>IF(W35&gt;0,(VLOOKUP(W35,$P$50:$Q$55,2,0)),"")</f>
        <v/>
      </c>
      <c r="Y35" s="126"/>
    </row>
    <row r="36" spans="1:25" s="87" customFormat="1" ht="24" customHeight="1" x14ac:dyDescent="0.2">
      <c r="A36" s="312">
        <v>34</v>
      </c>
      <c r="B36" s="306"/>
      <c r="C36" s="314"/>
      <c r="D36" s="313"/>
      <c r="E36" s="314"/>
      <c r="F36" s="308"/>
      <c r="G36" s="366">
        <f t="shared" si="7"/>
        <v>0</v>
      </c>
      <c r="H36" s="309"/>
      <c r="I36" s="310">
        <f t="shared" si="0"/>
        <v>0</v>
      </c>
      <c r="J36" s="308"/>
      <c r="K36" s="310">
        <f>IF(AND(D36="פטנט",140000-J36&gt;0),IF(D36="פטנט",MIN(140000-J36,(G36*F36)),G36*F36)*IF($D$44&gt;5,0,1),I36)</f>
        <v>0</v>
      </c>
      <c r="L36" s="157">
        <f t="shared" si="8"/>
        <v>0</v>
      </c>
      <c r="M36" s="64">
        <f t="shared" si="1"/>
        <v>0</v>
      </c>
      <c r="N36" s="279">
        <f t="shared" si="2"/>
        <v>1</v>
      </c>
      <c r="O36" s="91">
        <f t="shared" si="3"/>
        <v>0</v>
      </c>
      <c r="P36" s="92"/>
      <c r="Q36" s="106" t="str">
        <f>IF(P36&gt;0,(VLOOKUP(P36,$P$50:$Q$55,2,0)),"")</f>
        <v/>
      </c>
      <c r="R36" s="122"/>
      <c r="S36" s="105">
        <f t="shared" si="4"/>
        <v>0</v>
      </c>
      <c r="T36" s="63">
        <f t="shared" si="5"/>
        <v>0</v>
      </c>
      <c r="U36" s="90">
        <f t="shared" si="6"/>
        <v>1</v>
      </c>
      <c r="V36" s="111">
        <f t="shared" si="9"/>
        <v>0</v>
      </c>
      <c r="W36" s="92"/>
      <c r="X36" s="106" t="str">
        <f>IF(W36&gt;0,(VLOOKUP(W36,$P$50:$Q$55,2,0)),"")</f>
        <v/>
      </c>
      <c r="Y36" s="126"/>
    </row>
    <row r="37" spans="1:25" s="87" customFormat="1" ht="24" customHeight="1" x14ac:dyDescent="0.2">
      <c r="A37" s="312">
        <v>35</v>
      </c>
      <c r="B37" s="306"/>
      <c r="C37" s="314"/>
      <c r="D37" s="313"/>
      <c r="E37" s="314"/>
      <c r="F37" s="308"/>
      <c r="G37" s="366">
        <f t="shared" si="7"/>
        <v>0</v>
      </c>
      <c r="H37" s="309"/>
      <c r="I37" s="310">
        <f t="shared" si="0"/>
        <v>0</v>
      </c>
      <c r="J37" s="308"/>
      <c r="K37" s="310">
        <f>IF(AND(D37="פטנט",140000-J37&gt;0),IF(D37="פטנט",MIN(140000-J37,(G37*F37)),G37*F37)*IF($D$44&gt;5,0,1),I37)</f>
        <v>0</v>
      </c>
      <c r="L37" s="157">
        <f t="shared" si="8"/>
        <v>0</v>
      </c>
      <c r="M37" s="64">
        <f t="shared" si="1"/>
        <v>0</v>
      </c>
      <c r="N37" s="279">
        <f t="shared" si="2"/>
        <v>1</v>
      </c>
      <c r="O37" s="91">
        <f t="shared" si="3"/>
        <v>0</v>
      </c>
      <c r="P37" s="92"/>
      <c r="Q37" s="106" t="str">
        <f>IF(P37&gt;0,(VLOOKUP(P37,$P$50:$Q$55,2,0)),"")</f>
        <v/>
      </c>
      <c r="R37" s="122"/>
      <c r="S37" s="105">
        <f t="shared" si="4"/>
        <v>0</v>
      </c>
      <c r="T37" s="63">
        <f t="shared" si="5"/>
        <v>0</v>
      </c>
      <c r="U37" s="90">
        <f t="shared" si="6"/>
        <v>1</v>
      </c>
      <c r="V37" s="111">
        <f t="shared" si="9"/>
        <v>0</v>
      </c>
      <c r="W37" s="92"/>
      <c r="X37" s="106" t="str">
        <f>IF(W37&gt;0,(VLOOKUP(W37,$P$50:$Q$55,2,0)),"")</f>
        <v/>
      </c>
      <c r="Y37" s="126"/>
    </row>
    <row r="38" spans="1:25" s="87" customFormat="1" ht="24" customHeight="1" x14ac:dyDescent="0.2">
      <c r="A38" s="312">
        <v>36</v>
      </c>
      <c r="B38" s="306"/>
      <c r="C38" s="314"/>
      <c r="D38" s="313"/>
      <c r="E38" s="314"/>
      <c r="F38" s="308"/>
      <c r="G38" s="366">
        <f t="shared" si="7"/>
        <v>0</v>
      </c>
      <c r="H38" s="309"/>
      <c r="I38" s="310">
        <f t="shared" si="0"/>
        <v>0</v>
      </c>
      <c r="J38" s="308"/>
      <c r="K38" s="310">
        <f>IF(AND(D38="פטנט",140000-J38&gt;0),IF(D38="פטנט",MIN(140000-J38,(G38*F38)),G38*F38)*IF($D$44&gt;5,0,1),I38)</f>
        <v>0</v>
      </c>
      <c r="L38" s="157">
        <f t="shared" si="8"/>
        <v>0</v>
      </c>
      <c r="M38" s="64">
        <f t="shared" si="1"/>
        <v>0</v>
      </c>
      <c r="N38" s="279">
        <f t="shared" si="2"/>
        <v>1</v>
      </c>
      <c r="O38" s="91">
        <f t="shared" si="3"/>
        <v>0</v>
      </c>
      <c r="P38" s="92"/>
      <c r="Q38" s="106" t="str">
        <f>IF(P38&gt;0,(VLOOKUP(P38,$P$50:$Q$55,2,0)),"")</f>
        <v/>
      </c>
      <c r="R38" s="122"/>
      <c r="S38" s="105">
        <f t="shared" si="4"/>
        <v>0</v>
      </c>
      <c r="T38" s="63">
        <f t="shared" si="5"/>
        <v>0</v>
      </c>
      <c r="U38" s="90">
        <f t="shared" si="6"/>
        <v>1</v>
      </c>
      <c r="V38" s="111">
        <f t="shared" si="9"/>
        <v>0</v>
      </c>
      <c r="W38" s="92"/>
      <c r="X38" s="106" t="str">
        <f>IF(W38&gt;0,(VLOOKUP(W38,$P$50:$Q$55,2,0)),"")</f>
        <v/>
      </c>
      <c r="Y38" s="126"/>
    </row>
    <row r="39" spans="1:25" s="87" customFormat="1" ht="24" customHeight="1" x14ac:dyDescent="0.2">
      <c r="A39" s="312">
        <v>37</v>
      </c>
      <c r="B39" s="306"/>
      <c r="C39" s="314"/>
      <c r="D39" s="313"/>
      <c r="E39" s="314"/>
      <c r="F39" s="308"/>
      <c r="G39" s="366">
        <f t="shared" si="7"/>
        <v>0</v>
      </c>
      <c r="H39" s="309"/>
      <c r="I39" s="310">
        <f t="shared" si="0"/>
        <v>0</v>
      </c>
      <c r="J39" s="308"/>
      <c r="K39" s="310">
        <f>IF(AND(D39="פטנט",140000-J39&gt;0),IF(D39="פטנט",MIN(140000-J39,(G39*F39)),G39*F39)*IF($D$44&gt;5,0,1),I39)</f>
        <v>0</v>
      </c>
      <c r="L39" s="157">
        <f t="shared" si="8"/>
        <v>0</v>
      </c>
      <c r="M39" s="64">
        <f t="shared" si="1"/>
        <v>0</v>
      </c>
      <c r="N39" s="279">
        <f t="shared" si="2"/>
        <v>1</v>
      </c>
      <c r="O39" s="91">
        <f t="shared" si="3"/>
        <v>0</v>
      </c>
      <c r="P39" s="92"/>
      <c r="Q39" s="106" t="str">
        <f>IF(P39&gt;0,(VLOOKUP(P39,$P$50:$Q$55,2,0)),"")</f>
        <v/>
      </c>
      <c r="R39" s="122"/>
      <c r="S39" s="105">
        <f t="shared" si="4"/>
        <v>0</v>
      </c>
      <c r="T39" s="63">
        <f t="shared" si="5"/>
        <v>0</v>
      </c>
      <c r="U39" s="90">
        <f t="shared" si="6"/>
        <v>1</v>
      </c>
      <c r="V39" s="111">
        <f t="shared" si="9"/>
        <v>0</v>
      </c>
      <c r="W39" s="92"/>
      <c r="X39" s="106" t="str">
        <f>IF(W39&gt;0,(VLOOKUP(W39,$P$50:$Q$55,2,0)),"")</f>
        <v/>
      </c>
      <c r="Y39" s="126"/>
    </row>
    <row r="40" spans="1:25" s="87" customFormat="1" ht="24" customHeight="1" x14ac:dyDescent="0.2">
      <c r="A40" s="312">
        <v>38</v>
      </c>
      <c r="B40" s="306"/>
      <c r="C40" s="314"/>
      <c r="D40" s="313"/>
      <c r="E40" s="314"/>
      <c r="F40" s="308"/>
      <c r="G40" s="366">
        <f t="shared" si="7"/>
        <v>0</v>
      </c>
      <c r="H40" s="309"/>
      <c r="I40" s="310">
        <f t="shared" si="0"/>
        <v>0</v>
      </c>
      <c r="J40" s="308"/>
      <c r="K40" s="310">
        <f>IF(AND(D40="פטנט",140000-J40&gt;0),IF(D40="פטנט",MIN(140000-J40,(G40*F40)),G40*F40)*IF($D$44&gt;5,0,1),I40)</f>
        <v>0</v>
      </c>
      <c r="L40" s="157">
        <f t="shared" si="8"/>
        <v>0</v>
      </c>
      <c r="M40" s="64">
        <f t="shared" si="1"/>
        <v>0</v>
      </c>
      <c r="N40" s="279">
        <f t="shared" si="2"/>
        <v>1</v>
      </c>
      <c r="O40" s="91">
        <f t="shared" si="3"/>
        <v>0</v>
      </c>
      <c r="P40" s="92"/>
      <c r="Q40" s="106" t="str">
        <f>IF(P40&gt;0,(VLOOKUP(P40,$P$50:$Q$55,2,0)),"")</f>
        <v/>
      </c>
      <c r="R40" s="122"/>
      <c r="S40" s="105">
        <f t="shared" si="4"/>
        <v>0</v>
      </c>
      <c r="T40" s="63">
        <f t="shared" si="5"/>
        <v>0</v>
      </c>
      <c r="U40" s="90">
        <f t="shared" si="6"/>
        <v>1</v>
      </c>
      <c r="V40" s="111">
        <f t="shared" si="9"/>
        <v>0</v>
      </c>
      <c r="W40" s="92"/>
      <c r="X40" s="106" t="str">
        <f>IF(W40&gt;0,(VLOOKUP(W40,$P$50:$Q$55,2,0)),"")</f>
        <v/>
      </c>
      <c r="Y40" s="126"/>
    </row>
    <row r="41" spans="1:25" s="87" customFormat="1" ht="24" customHeight="1" x14ac:dyDescent="0.2">
      <c r="A41" s="312">
        <v>39</v>
      </c>
      <c r="B41" s="306"/>
      <c r="C41" s="314"/>
      <c r="D41" s="313"/>
      <c r="E41" s="314"/>
      <c r="F41" s="308"/>
      <c r="G41" s="366">
        <f t="shared" si="7"/>
        <v>0</v>
      </c>
      <c r="H41" s="309"/>
      <c r="I41" s="310">
        <f t="shared" si="0"/>
        <v>0</v>
      </c>
      <c r="J41" s="308"/>
      <c r="K41" s="310">
        <f>IF(AND(D41="פטנט",140000-J41&gt;0),IF(D41="פטנט",MIN(140000-J41,(G41*F41)),G41*F41)*IF($D$44&gt;5,0,1),I41)</f>
        <v>0</v>
      </c>
      <c r="L41" s="157">
        <f t="shared" si="8"/>
        <v>0</v>
      </c>
      <c r="M41" s="64">
        <f t="shared" si="1"/>
        <v>0</v>
      </c>
      <c r="N41" s="279">
        <f t="shared" si="2"/>
        <v>1</v>
      </c>
      <c r="O41" s="91">
        <f t="shared" si="3"/>
        <v>0</v>
      </c>
      <c r="P41" s="92"/>
      <c r="Q41" s="106" t="str">
        <f>IF(P41&gt;0,(VLOOKUP(P41,$P$50:$Q$55,2,0)),"")</f>
        <v/>
      </c>
      <c r="R41" s="122"/>
      <c r="S41" s="105">
        <f t="shared" si="4"/>
        <v>0</v>
      </c>
      <c r="T41" s="63">
        <f t="shared" si="5"/>
        <v>0</v>
      </c>
      <c r="U41" s="90">
        <f t="shared" si="6"/>
        <v>1</v>
      </c>
      <c r="V41" s="111">
        <f t="shared" si="9"/>
        <v>0</v>
      </c>
      <c r="W41" s="92"/>
      <c r="X41" s="106" t="str">
        <f>IF(W41&gt;0,(VLOOKUP(W41,$P$50:$Q$55,2,0)),"")</f>
        <v/>
      </c>
      <c r="Y41" s="126"/>
    </row>
    <row r="42" spans="1:25" s="87" customFormat="1" ht="24" customHeight="1" x14ac:dyDescent="0.2">
      <c r="A42" s="312">
        <v>40</v>
      </c>
      <c r="B42" s="306"/>
      <c r="C42" s="314"/>
      <c r="D42" s="313"/>
      <c r="E42" s="314"/>
      <c r="F42" s="308"/>
      <c r="G42" s="366">
        <f t="shared" si="7"/>
        <v>0</v>
      </c>
      <c r="H42" s="309"/>
      <c r="I42" s="310">
        <f t="shared" si="0"/>
        <v>0</v>
      </c>
      <c r="J42" s="308"/>
      <c r="K42" s="310">
        <f>IF(AND(D42="פטנט",140000-J42&gt;0),IF(D42="פטנט",MIN(140000-J42,(G42*F42)),G42*F42)*IF($D$44&gt;5,0,1),I42)</f>
        <v>0</v>
      </c>
      <c r="L42" s="157">
        <f t="shared" si="8"/>
        <v>0</v>
      </c>
      <c r="M42" s="64">
        <f t="shared" si="1"/>
        <v>0</v>
      </c>
      <c r="N42" s="279">
        <f t="shared" si="2"/>
        <v>1</v>
      </c>
      <c r="O42" s="91">
        <f t="shared" si="3"/>
        <v>0</v>
      </c>
      <c r="P42" s="92"/>
      <c r="Q42" s="106" t="str">
        <f>IF(P42&gt;0,(VLOOKUP(P42,$P$50:$Q$55,2,0)),"")</f>
        <v/>
      </c>
      <c r="R42" s="122"/>
      <c r="S42" s="105">
        <f t="shared" si="4"/>
        <v>0</v>
      </c>
      <c r="T42" s="63">
        <f t="shared" si="5"/>
        <v>0</v>
      </c>
      <c r="U42" s="90">
        <f t="shared" si="6"/>
        <v>1</v>
      </c>
      <c r="V42" s="111">
        <f t="shared" si="9"/>
        <v>0</v>
      </c>
      <c r="W42" s="92"/>
      <c r="X42" s="106" t="str">
        <f>IF(W42&gt;0,(VLOOKUP(W42,$P$50:$Q$55,2,0)),"")</f>
        <v/>
      </c>
      <c r="Y42" s="126"/>
    </row>
    <row r="43" spans="1:25" s="87" customFormat="1" ht="24" customHeight="1" thickBot="1" x14ac:dyDescent="0.25">
      <c r="A43" s="472"/>
      <c r="B43" s="473" t="s">
        <v>4</v>
      </c>
      <c r="C43" s="474"/>
      <c r="D43" s="474"/>
      <c r="E43" s="474"/>
      <c r="F43" s="474"/>
      <c r="G43" s="474"/>
      <c r="H43" s="474"/>
      <c r="I43" s="475">
        <f>SUM(I3:I42)</f>
        <v>0</v>
      </c>
      <c r="J43" s="475">
        <f>SUM(J3:J42)</f>
        <v>0</v>
      </c>
      <c r="K43" s="475">
        <f>SUM(K3:K42)</f>
        <v>0</v>
      </c>
      <c r="L43" s="158"/>
      <c r="M43" s="107"/>
      <c r="N43" s="107"/>
      <c r="O43" s="107">
        <f>SUM(O3:O42)</f>
        <v>0</v>
      </c>
      <c r="P43" s="108"/>
      <c r="Q43" s="109"/>
      <c r="R43" s="123"/>
      <c r="S43" s="113"/>
      <c r="T43" s="112"/>
      <c r="U43" s="112"/>
      <c r="V43" s="112">
        <f>SUM(V3:V42)</f>
        <v>0</v>
      </c>
      <c r="W43" s="114"/>
      <c r="X43" s="115"/>
      <c r="Y43" s="127"/>
    </row>
    <row r="44" spans="1:25" hidden="1" x14ac:dyDescent="0.2">
      <c r="D44" s="354">
        <f>COUNTIF(D3:D42,"=פטנט")</f>
        <v>0</v>
      </c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</row>
    <row r="45" spans="1:25" hidden="1" x14ac:dyDescent="0.2">
      <c r="A45" s="354" t="s">
        <v>20</v>
      </c>
      <c r="H45" s="15"/>
      <c r="I45" s="15"/>
      <c r="J45" s="15"/>
      <c r="K45" s="15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15"/>
    </row>
    <row r="46" spans="1:25" hidden="1" x14ac:dyDescent="0.2">
      <c r="A46" s="354" t="s">
        <v>185</v>
      </c>
      <c r="H46" s="15"/>
      <c r="I46" s="15"/>
      <c r="J46" s="15"/>
      <c r="K46" s="15"/>
      <c r="L46" s="15"/>
      <c r="M46" s="15"/>
      <c r="N46" s="15"/>
      <c r="O46" s="15"/>
      <c r="P46" s="15"/>
      <c r="Q46" s="40"/>
      <c r="R46" s="39"/>
      <c r="S46" s="15"/>
      <c r="T46" s="15"/>
      <c r="U46" s="15"/>
      <c r="V46" s="15"/>
      <c r="W46" s="15"/>
      <c r="X46" s="40"/>
      <c r="Y46" s="15"/>
    </row>
    <row r="47" spans="1:25" hidden="1" x14ac:dyDescent="0.2">
      <c r="A47" s="354" t="s">
        <v>252</v>
      </c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39"/>
      <c r="S47" s="15"/>
      <c r="T47" s="15"/>
      <c r="U47" s="15"/>
      <c r="V47" s="15"/>
      <c r="W47" s="15"/>
      <c r="X47" s="15"/>
      <c r="Y47" s="15"/>
    </row>
    <row r="48" spans="1:25" ht="12.75" hidden="1" customHeight="1" x14ac:dyDescent="0.2">
      <c r="A48" s="597" t="s">
        <v>101</v>
      </c>
      <c r="B48" s="597"/>
      <c r="H48" s="15"/>
      <c r="I48" s="15"/>
      <c r="J48" s="15"/>
      <c r="K48" s="15"/>
      <c r="L48" s="15"/>
      <c r="M48" s="15"/>
      <c r="N48" s="15"/>
      <c r="O48" s="15"/>
      <c r="P48" s="597" t="s">
        <v>99</v>
      </c>
      <c r="Q48" s="597"/>
      <c r="R48" s="15"/>
      <c r="S48" s="15"/>
      <c r="T48" s="15"/>
      <c r="U48" s="15"/>
      <c r="V48" s="15"/>
      <c r="W48" s="597" t="s">
        <v>99</v>
      </c>
      <c r="X48" s="597"/>
      <c r="Y48" s="15"/>
    </row>
    <row r="49" spans="1:25" ht="25.5" hidden="1" customHeight="1" x14ac:dyDescent="0.2">
      <c r="A49" s="83" t="s">
        <v>56</v>
      </c>
      <c r="B49" s="57" t="s">
        <v>13</v>
      </c>
      <c r="H49" s="15"/>
      <c r="I49" s="15"/>
      <c r="J49" s="15">
        <v>5</v>
      </c>
      <c r="K49" s="15"/>
      <c r="L49" s="15"/>
      <c r="M49" s="15"/>
      <c r="N49" s="15"/>
      <c r="O49" s="15"/>
      <c r="P49" s="56" t="s">
        <v>68</v>
      </c>
      <c r="Q49" s="57" t="s">
        <v>69</v>
      </c>
      <c r="R49" s="39"/>
      <c r="S49" s="15"/>
      <c r="T49" s="15"/>
      <c r="U49" s="15"/>
      <c r="V49" s="15"/>
      <c r="W49" s="56" t="s">
        <v>68</v>
      </c>
      <c r="X49" s="57" t="s">
        <v>69</v>
      </c>
      <c r="Y49" s="15"/>
    </row>
    <row r="50" spans="1:25" ht="27" hidden="1" customHeight="1" x14ac:dyDescent="0.2">
      <c r="A50" s="58">
        <v>1</v>
      </c>
      <c r="B50" s="59" t="s">
        <v>57</v>
      </c>
      <c r="H50" s="15"/>
      <c r="I50" s="15"/>
      <c r="J50" s="15"/>
      <c r="K50" s="15"/>
      <c r="L50" s="15"/>
      <c r="M50" s="15"/>
      <c r="N50" s="15"/>
      <c r="O50" s="15"/>
      <c r="P50" s="58">
        <v>1</v>
      </c>
      <c r="Q50" s="84" t="s">
        <v>66</v>
      </c>
      <c r="R50" s="39"/>
      <c r="S50" s="15"/>
      <c r="T50" s="15"/>
      <c r="U50" s="15"/>
      <c r="V50" s="15"/>
      <c r="W50" s="58">
        <v>1</v>
      </c>
      <c r="X50" s="84" t="s">
        <v>66</v>
      </c>
      <c r="Y50" s="15"/>
    </row>
    <row r="51" spans="1:25" ht="27" hidden="1" customHeight="1" x14ac:dyDescent="0.2">
      <c r="A51" s="58">
        <v>2</v>
      </c>
      <c r="B51" s="58" t="s">
        <v>58</v>
      </c>
      <c r="H51" s="15"/>
      <c r="I51" s="15"/>
      <c r="J51" s="15"/>
      <c r="K51" s="15"/>
      <c r="L51" s="15"/>
      <c r="M51" s="15"/>
      <c r="N51" s="15"/>
      <c r="O51" s="15"/>
      <c r="P51" s="58">
        <v>2</v>
      </c>
      <c r="Q51" s="84" t="s">
        <v>65</v>
      </c>
      <c r="R51" s="39"/>
      <c r="S51" s="15"/>
      <c r="T51" s="15"/>
      <c r="U51" s="15"/>
      <c r="V51" s="15"/>
      <c r="W51" s="58">
        <v>2</v>
      </c>
      <c r="X51" s="84" t="s">
        <v>65</v>
      </c>
      <c r="Y51" s="15"/>
    </row>
    <row r="52" spans="1:25" ht="27" hidden="1" customHeight="1" x14ac:dyDescent="0.2">
      <c r="A52" s="58">
        <v>3</v>
      </c>
      <c r="B52" s="59" t="s">
        <v>59</v>
      </c>
      <c r="H52" s="15"/>
      <c r="I52" s="15"/>
      <c r="J52" s="15"/>
      <c r="K52" s="15"/>
      <c r="L52" s="15"/>
      <c r="M52" s="15"/>
      <c r="N52" s="15"/>
      <c r="O52" s="15"/>
      <c r="P52" s="58">
        <v>3</v>
      </c>
      <c r="Q52" s="84" t="s">
        <v>64</v>
      </c>
      <c r="R52" s="39"/>
      <c r="S52" s="15"/>
      <c r="T52" s="15"/>
      <c r="U52" s="15"/>
      <c r="V52" s="15"/>
      <c r="W52" s="58">
        <v>3</v>
      </c>
      <c r="X52" s="84" t="s">
        <v>64</v>
      </c>
      <c r="Y52" s="15"/>
    </row>
    <row r="53" spans="1:25" ht="27" hidden="1" customHeight="1" x14ac:dyDescent="0.2">
      <c r="A53" s="58">
        <v>4</v>
      </c>
      <c r="B53" s="59" t="s">
        <v>60</v>
      </c>
      <c r="H53" s="15"/>
      <c r="I53" s="15"/>
      <c r="J53" s="15"/>
      <c r="K53" s="15"/>
      <c r="L53" s="15"/>
      <c r="M53" s="15"/>
      <c r="N53" s="15"/>
      <c r="O53" s="15"/>
      <c r="P53" s="58">
        <v>4</v>
      </c>
      <c r="Q53" s="84" t="s">
        <v>67</v>
      </c>
      <c r="R53" s="39"/>
      <c r="S53" s="15"/>
      <c r="T53" s="15"/>
      <c r="U53" s="15"/>
      <c r="V53" s="15"/>
      <c r="W53" s="58">
        <v>4</v>
      </c>
      <c r="X53" s="84" t="s">
        <v>67</v>
      </c>
      <c r="Y53" s="15"/>
    </row>
    <row r="54" spans="1:25" ht="27" hidden="1" customHeight="1" x14ac:dyDescent="0.2">
      <c r="H54" s="15"/>
      <c r="I54" s="15"/>
      <c r="J54" s="15"/>
      <c r="K54" s="15"/>
      <c r="L54" s="15"/>
      <c r="M54" s="15"/>
      <c r="N54" s="15"/>
      <c r="O54" s="15"/>
      <c r="P54" s="58">
        <v>5</v>
      </c>
      <c r="Q54" s="84" t="s">
        <v>103</v>
      </c>
      <c r="R54" s="39"/>
      <c r="S54" s="15"/>
      <c r="T54" s="15"/>
      <c r="U54" s="15"/>
      <c r="V54" s="15"/>
      <c r="W54" s="58">
        <v>5</v>
      </c>
      <c r="X54" s="84" t="s">
        <v>103</v>
      </c>
      <c r="Y54" s="15"/>
    </row>
    <row r="55" spans="1:25" hidden="1" x14ac:dyDescent="0.2">
      <c r="H55" s="15"/>
      <c r="I55" s="15"/>
      <c r="J55" s="15"/>
      <c r="K55" s="15"/>
      <c r="L55" s="15"/>
      <c r="M55" s="15"/>
      <c r="N55" s="15"/>
      <c r="O55" s="15"/>
      <c r="P55" s="58">
        <v>6</v>
      </c>
      <c r="Q55" s="84" t="s">
        <v>20</v>
      </c>
      <c r="R55" s="39"/>
      <c r="S55" s="15"/>
      <c r="T55" s="15"/>
      <c r="U55" s="15"/>
      <c r="V55" s="15"/>
      <c r="W55" s="58">
        <v>6</v>
      </c>
      <c r="X55" s="84" t="s">
        <v>20</v>
      </c>
      <c r="Y55" s="15"/>
    </row>
    <row r="56" spans="1:25" hidden="1" x14ac:dyDescent="0.2">
      <c r="L56" s="27"/>
    </row>
    <row r="57" spans="1:25" hidden="1" x14ac:dyDescent="0.2">
      <c r="L57" s="27"/>
    </row>
    <row r="58" spans="1:25" hidden="1" x14ac:dyDescent="0.2">
      <c r="L58" s="27"/>
    </row>
    <row r="59" spans="1:25" hidden="1" x14ac:dyDescent="0.2">
      <c r="A59" s="27">
        <f>'ראשי-פרטים כלליים וריכוז הוצאות'!C117</f>
        <v>1</v>
      </c>
      <c r="L59" s="27"/>
    </row>
    <row r="60" spans="1:25" hidden="1" x14ac:dyDescent="0.2">
      <c r="B60" s="449" t="s">
        <v>217</v>
      </c>
    </row>
    <row r="61" spans="1:25" ht="14.25" hidden="1" x14ac:dyDescent="0.2">
      <c r="A61" s="448" t="s">
        <v>216</v>
      </c>
    </row>
    <row r="62" spans="1:25" hidden="1" x14ac:dyDescent="0.2"/>
    <row r="63" spans="1:25" hidden="1" x14ac:dyDescent="0.2"/>
    <row r="64" spans="1:25" hidden="1" x14ac:dyDescent="0.2"/>
    <row r="65" spans="1:1" hidden="1" x14ac:dyDescent="0.2"/>
    <row r="66" spans="1:1" hidden="1" x14ac:dyDescent="0.2"/>
    <row r="67" spans="1:1" hidden="1" x14ac:dyDescent="0.2"/>
    <row r="68" spans="1:1" hidden="1" x14ac:dyDescent="0.2">
      <c r="A68" s="460">
        <f>+'ראשי-פרטים כלליים וריכוז הוצאות'!C117</f>
        <v>1</v>
      </c>
    </row>
    <row r="69" spans="1:1" hidden="1" x14ac:dyDescent="0.2">
      <c r="A69">
        <f>VLOOKUP(+'ראשי-פרטים כלליים וריכוז הוצאות'!C117,'ראשי-פרטים כלליים וריכוז הוצאות'!$F$116:$L$130,5,0)</f>
        <v>1</v>
      </c>
    </row>
  </sheetData>
  <sheetProtection password="CAD0" sheet="1" objects="1" scenarios="1"/>
  <customSheetViews>
    <customSheetView guid="{0C0A7354-1E68-4AF0-8238-6CB67405E9AA}" showRuler="0">
      <selection activeCell="F9" sqref="F9"/>
      <pageMargins left="0.75" right="0.75" top="1" bottom="1" header="0.5" footer="0.5"/>
      <headerFooter alignWithMargins="0"/>
    </customSheetView>
  </customSheetViews>
  <mergeCells count="10">
    <mergeCell ref="A48:B48"/>
    <mergeCell ref="A1:C1"/>
    <mergeCell ref="O1:P1"/>
    <mergeCell ref="L1:N1"/>
    <mergeCell ref="V1:W1"/>
    <mergeCell ref="P48:Q48"/>
    <mergeCell ref="W48:X48"/>
    <mergeCell ref="S1:U1"/>
    <mergeCell ref="D1:F1"/>
    <mergeCell ref="I1:K1"/>
  </mergeCells>
  <phoneticPr fontId="6" type="noConversion"/>
  <conditionalFormatting sqref="L3:M42">
    <cfRule type="cellIs" dxfId="40" priority="6" stopIfTrue="1" operator="notEqual">
      <formula>F3</formula>
    </cfRule>
  </conditionalFormatting>
  <conditionalFormatting sqref="S3:T42">
    <cfRule type="cellIs" dxfId="39" priority="7" stopIfTrue="1" operator="notEqual">
      <formula>L3</formula>
    </cfRule>
  </conditionalFormatting>
  <conditionalFormatting sqref="O3:O42">
    <cfRule type="cellIs" dxfId="38" priority="8" stopIfTrue="1" operator="notEqual">
      <formula>K3</formula>
    </cfRule>
  </conditionalFormatting>
  <conditionalFormatting sqref="U3:U42 N3:N42">
    <cfRule type="cellIs" dxfId="37" priority="9" stopIfTrue="1" operator="notEqual">
      <formula>1-$Q$1</formula>
    </cfRule>
  </conditionalFormatting>
  <conditionalFormatting sqref="D3:D42">
    <cfRule type="expression" dxfId="36" priority="4">
      <formula>$D$44&gt;5</formula>
    </cfRule>
  </conditionalFormatting>
  <conditionalFormatting sqref="G3:G42">
    <cfRule type="expression" dxfId="35" priority="3" stopIfTrue="1">
      <formula>Z3=1</formula>
    </cfRule>
  </conditionalFormatting>
  <conditionalFormatting sqref="A68:A69">
    <cfRule type="expression" dxfId="34" priority="2" stopIfTrue="1">
      <formula>OR($A$68=1,$A$68=3,$A$68=5,$A$68=6)</formula>
    </cfRule>
  </conditionalFormatting>
  <conditionalFormatting sqref="A1:XFD1048576">
    <cfRule type="expression" dxfId="33" priority="1">
      <formula>$A$69 = 0</formula>
    </cfRule>
  </conditionalFormatting>
  <dataValidations xWindow="720" yWindow="283" count="6">
    <dataValidation type="decimal" allowBlank="1" showInputMessage="1" showErrorMessage="1" errorTitle="תא מחושב בנוסחה" error="תא זה מחושב בנוסחה:_x000a_ בידך לשנות את שלושת העמודות מימין וע&quot;י כך לקבוע את הסכום המומלץ._x000a__x000a_על מנת להחזיר המצב לקדמותו, נא הקישו על ביטול_x000a_" promptTitle="תא מחושב בנוסחה" prompt="אין להקליד נתונים בעמודה זו" sqref="O3:O42">
      <formula1>L3*M3*N3</formula1>
      <formula2>L3*M3*N3</formula2>
    </dataValidation>
    <dataValidation type="list" allowBlank="1" showInputMessage="1" showErrorMessage="1" errorTitle="בודק מקצועי: נא בחר קוד נימוק" error="במידה והינך מעוניין בנימוק אחר, הקש חמש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קיצוץ אחיד_x000a_6.  אחר (נא פרט בעמודה משמאל)_x000a_" sqref="W3:W42 P3:P42">
      <formula1>$P$50:$P$55</formula1>
    </dataValidation>
    <dataValidation type="list" allowBlank="1" showErrorMessage="1" error="הצעת מחיר, _x000a_חוזה, _x000a_מחירון, _x000a_אמדן." promptTitle=" נא להקיש קוד עלות:" prompt="הצעת מחיר._x000a_חוזה._x000a_מחירון.   _x000a_ אמדן" sqref="H3:H42">
      <formula1>$B$50:$B$53</formula1>
    </dataValidation>
    <dataValidation type="whole" operator="greaterThan" allowBlank="1" showInputMessage="1" showErrorMessage="1" sqref="F3:F42">
      <formula1>0</formula1>
    </dataValidation>
    <dataValidation type="list" allowBlank="1" showInputMessage="1" showErrorMessage="1" sqref="D3:D42">
      <formula1>$A$45:$A$47</formula1>
    </dataValidation>
    <dataValidation type="custom" operator="greaterThan" allowBlank="1" showInputMessage="1" showErrorMessage="1" errorTitle="פטנט" error="במקרה של פטנט יש להקיש 1" promptTitle="כמות במקרה של &quot;פטנט&quot;" prompt="יש להקיש 1" sqref="G3:G42">
      <formula1>OR(AND(D3="פטנט",G3=1), AND(D3&lt;&gt;"פטנט",G3&gt;=0))</formula1>
    </dataValidation>
  </dataValidations>
  <printOptions horizontalCentered="1" verticalCentered="1"/>
  <pageMargins left="0.27559055118110237" right="0.23622047244094491" top="0.51181102362204722" bottom="0.55118110236220474" header="0.51181102362204722" footer="0.39370078740157483"/>
  <pageSetup paperSize="9" scale="27" orientation="portrait" horizontalDpi="300" verticalDpi="300" r:id="rId1"/>
  <headerFooter alignWithMargins="0">
    <oddFooter>עמוד &amp;P מתוך &amp;N</oddFooter>
  </headerFooter>
  <ignoredErrors>
    <ignoredError sqref="G5:G42 G4" unlockedFormula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5">
    <tabColor indexed="42"/>
    <pageSetUpPr fitToPage="1"/>
  </sheetPr>
  <dimension ref="A1:X69"/>
  <sheetViews>
    <sheetView showGridLines="0" rightToLeft="1"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10" sqref="C10"/>
    </sheetView>
  </sheetViews>
  <sheetFormatPr defaultColWidth="9.140625" defaultRowHeight="12.75" outlineLevelCol="1" x14ac:dyDescent="0.2"/>
  <cols>
    <col min="1" max="1" width="5" style="15" bestFit="1" customWidth="1"/>
    <col min="2" max="3" width="16" style="15" customWidth="1"/>
    <col min="4" max="4" width="10.42578125" style="15" customWidth="1"/>
    <col min="5" max="5" width="11.28515625" style="15" customWidth="1"/>
    <col min="6" max="6" width="10.85546875" style="15" customWidth="1"/>
    <col min="7" max="7" width="11.28515625" style="15" customWidth="1"/>
    <col min="8" max="8" width="12.5703125" style="15" customWidth="1"/>
    <col min="9" max="9" width="12.85546875" style="15" customWidth="1"/>
    <col min="10" max="10" width="13.28515625" style="15" customWidth="1"/>
    <col min="11" max="11" width="13" style="15" hidden="1" customWidth="1" outlineLevel="1"/>
    <col min="12" max="12" width="13.140625" style="15" hidden="1" customWidth="1" outlineLevel="1"/>
    <col min="13" max="13" width="17.140625" style="15" hidden="1" customWidth="1" outlineLevel="1"/>
    <col min="14" max="14" width="19.42578125" style="15" hidden="1" customWidth="1" outlineLevel="1"/>
    <col min="15" max="15" width="14.140625" style="15" hidden="1" customWidth="1" outlineLevel="1"/>
    <col min="16" max="16" width="24.42578125" style="15" hidden="1" customWidth="1" outlineLevel="1"/>
    <col min="17" max="17" width="7.5703125" style="15" customWidth="1" collapsed="1"/>
    <col min="18" max="20" width="9.140625" style="15" hidden="1" customWidth="1" outlineLevel="1"/>
    <col min="21" max="21" width="20.42578125" style="15" hidden="1" customWidth="1" outlineLevel="1"/>
    <col min="22" max="22" width="14.5703125" style="15" hidden="1" customWidth="1" outlineLevel="1"/>
    <col min="23" max="23" width="22" style="15" hidden="1" customWidth="1" outlineLevel="1"/>
    <col min="24" max="24" width="7.85546875" style="15" customWidth="1" collapsed="1"/>
    <col min="25" max="16384" width="9.140625" style="15"/>
  </cols>
  <sheetData>
    <row r="1" spans="1:24" s="66" customFormat="1" ht="25.5" customHeight="1" thickBot="1" x14ac:dyDescent="0.35">
      <c r="A1" s="620" t="s">
        <v>33</v>
      </c>
      <c r="B1" s="621"/>
      <c r="C1" s="286" t="s">
        <v>90</v>
      </c>
      <c r="D1" s="165">
        <f>DATEDIF('ראשי-פרטים כלליים וריכוז הוצאות'!$B$12,'ראשי-פרטים כלליים וריכוז הוצאות'!$C$12+1,"m")</f>
        <v>0</v>
      </c>
      <c r="E1" s="163" t="s">
        <v>25</v>
      </c>
      <c r="F1" s="302">
        <f>'ראשי-פרטים כלליים וריכוז הוצאות'!B12</f>
        <v>0</v>
      </c>
      <c r="G1" s="163" t="s">
        <v>26</v>
      </c>
      <c r="H1" s="302">
        <f>'ראשי-פרטים כלליים וריכוז הוצאות'!C12</f>
        <v>0</v>
      </c>
      <c r="I1" s="164" t="s">
        <v>32</v>
      </c>
      <c r="J1" s="289">
        <f>'ראשי-פרטים כלליים וריכוז הוצאות'!F5</f>
        <v>0</v>
      </c>
      <c r="K1" s="623" t="s">
        <v>110</v>
      </c>
      <c r="L1" s="623"/>
      <c r="M1" s="623"/>
      <c r="N1" s="623"/>
      <c r="O1" s="623"/>
      <c r="P1" s="624"/>
      <c r="Q1" s="580" t="s">
        <v>72</v>
      </c>
      <c r="R1" s="625" t="s">
        <v>248</v>
      </c>
      <c r="S1" s="626"/>
      <c r="T1" s="626"/>
      <c r="U1" s="626"/>
      <c r="V1" s="626"/>
      <c r="W1" s="627"/>
      <c r="X1" s="570" t="s">
        <v>221</v>
      </c>
    </row>
    <row r="2" spans="1:24" s="36" customFormat="1" ht="51" customHeight="1" x14ac:dyDescent="0.2">
      <c r="A2" s="161" t="s">
        <v>5</v>
      </c>
      <c r="B2" s="35" t="s">
        <v>79</v>
      </c>
      <c r="C2" s="35" t="s">
        <v>82</v>
      </c>
      <c r="D2" s="161" t="s">
        <v>172</v>
      </c>
      <c r="E2" s="35" t="s">
        <v>43</v>
      </c>
      <c r="F2" s="89" t="s">
        <v>83</v>
      </c>
      <c r="G2" s="162" t="s">
        <v>38</v>
      </c>
      <c r="H2" s="140" t="s">
        <v>80</v>
      </c>
      <c r="I2" s="288" t="s">
        <v>81</v>
      </c>
      <c r="J2" s="290" t="s">
        <v>100</v>
      </c>
      <c r="K2" s="150" t="s">
        <v>154</v>
      </c>
      <c r="L2" s="134" t="s">
        <v>155</v>
      </c>
      <c r="M2" s="68" t="s">
        <v>156</v>
      </c>
      <c r="N2" s="68" t="s">
        <v>157</v>
      </c>
      <c r="O2" s="68" t="s">
        <v>152</v>
      </c>
      <c r="P2" s="116" t="s">
        <v>24</v>
      </c>
      <c r="Q2" s="581"/>
      <c r="R2" s="154" t="s">
        <v>92</v>
      </c>
      <c r="S2" s="135" t="s">
        <v>93</v>
      </c>
      <c r="T2" s="110" t="s">
        <v>91</v>
      </c>
      <c r="U2" s="110" t="s">
        <v>48</v>
      </c>
      <c r="V2" s="110" t="s">
        <v>98</v>
      </c>
      <c r="W2" s="117" t="s">
        <v>24</v>
      </c>
      <c r="X2" s="571"/>
    </row>
    <row r="3" spans="1:24" s="22" customFormat="1" ht="24" customHeight="1" x14ac:dyDescent="0.2">
      <c r="A3" s="312">
        <v>1</v>
      </c>
      <c r="B3" s="306"/>
      <c r="C3" s="306"/>
      <c r="D3" s="316"/>
      <c r="E3" s="317"/>
      <c r="F3" s="318"/>
      <c r="G3" s="319"/>
      <c r="H3" s="320">
        <f>MAX(IF((COUNTA(D3,E3,F3,G3)=4),MIN(MIN(IF($A$65="כן",B68,B68),1-I3)*(G3*(F3/12)*E3),(E3-I3)*G3),0),0)</f>
        <v>0</v>
      </c>
      <c r="I3" s="321"/>
      <c r="J3" s="309"/>
      <c r="K3" s="151">
        <f>E3</f>
        <v>0</v>
      </c>
      <c r="L3" s="65">
        <f t="shared" ref="L3:L52" si="0">F3</f>
        <v>0</v>
      </c>
      <c r="M3" s="179">
        <f>G3</f>
        <v>0</v>
      </c>
      <c r="N3" s="142">
        <f>IF((COUNTA(D3,E3,F3,G3)=4),MIN(IF($A$65="כן",B68,B68),1-I3)*M3*L3/12,0)*K3</f>
        <v>0</v>
      </c>
      <c r="O3" s="92"/>
      <c r="P3" s="141"/>
      <c r="Q3" s="122"/>
      <c r="R3" s="152">
        <f t="shared" ref="R3:R52" si="1">K3</f>
        <v>0</v>
      </c>
      <c r="S3" s="65">
        <f>L3</f>
        <v>0</v>
      </c>
      <c r="T3" s="64">
        <f>M3</f>
        <v>0</v>
      </c>
      <c r="U3" s="144">
        <f>IF((COUNTA(D3,E3,F3,G3)=4),MIN(IF($A$65="כן",B68,B68),1-I3)*T3*S3/12,0)*R3</f>
        <v>0</v>
      </c>
      <c r="V3" s="92"/>
      <c r="W3" s="141" t="str">
        <f>IF(V3&gt;0,(VLOOKUP(V3,$V$60:$W$64,2,0)),"")</f>
        <v/>
      </c>
      <c r="X3" s="126"/>
    </row>
    <row r="4" spans="1:24" s="22" customFormat="1" ht="24" customHeight="1" x14ac:dyDescent="0.2">
      <c r="A4" s="312">
        <v>2</v>
      </c>
      <c r="B4" s="306"/>
      <c r="C4" s="306"/>
      <c r="D4" s="316"/>
      <c r="E4" s="317"/>
      <c r="F4" s="318"/>
      <c r="G4" s="319"/>
      <c r="H4" s="320">
        <f t="shared" ref="H4:H52" si="2">MAX(IF((COUNTA(D4,E4,F4,G4)=4),MIN(MIN(IF($A$65="כן",B69,B69),1-I4)*(G4*(F4/12)*E4),(E4-I4)*G4),0),0)</f>
        <v>0</v>
      </c>
      <c r="I4" s="321"/>
      <c r="J4" s="309"/>
      <c r="K4" s="151">
        <f t="shared" ref="K4:K52" si="3">E4</f>
        <v>0</v>
      </c>
      <c r="L4" s="65">
        <f t="shared" si="0"/>
        <v>0</v>
      </c>
      <c r="M4" s="179">
        <f t="shared" ref="M4:M52" si="4">G4</f>
        <v>0</v>
      </c>
      <c r="N4" s="142">
        <f t="shared" ref="N4:N52" si="5">IF((COUNTA(D4,E4,F4,G4)=4),MIN(IF($A$65="כן",B69,B69),1-I4)*M4*L4/12,0)*K4</f>
        <v>0</v>
      </c>
      <c r="O4" s="92"/>
      <c r="P4" s="141" t="str">
        <f t="shared" ref="P4:P52" si="6">IF(O4&gt;0,(VLOOKUP(O4,$O$60:$P$64,2,0)),"")</f>
        <v/>
      </c>
      <c r="Q4" s="122"/>
      <c r="R4" s="152">
        <f t="shared" si="1"/>
        <v>0</v>
      </c>
      <c r="S4" s="65">
        <f t="shared" ref="S4:S52" si="7">L4</f>
        <v>0</v>
      </c>
      <c r="T4" s="64">
        <f t="shared" ref="T4:T52" si="8">M4</f>
        <v>0</v>
      </c>
      <c r="U4" s="144">
        <f t="shared" ref="U4:U52" si="9">IF((COUNTA(D4,E4,F4,G4)=4),MIN(IF($A$65="כן",B69,B69),1-I4)*T4*S4/12,0)*R4</f>
        <v>0</v>
      </c>
      <c r="V4" s="92"/>
      <c r="W4" s="141" t="str">
        <f t="shared" ref="W4:W52" si="10">IF(V4&gt;0,(VLOOKUP(V4,$V$60:$W$64,2,0)),"")</f>
        <v/>
      </c>
      <c r="X4" s="126"/>
    </row>
    <row r="5" spans="1:24" s="22" customFormat="1" ht="24" customHeight="1" x14ac:dyDescent="0.2">
      <c r="A5" s="312">
        <v>3</v>
      </c>
      <c r="B5" s="306"/>
      <c r="C5" s="306"/>
      <c r="D5" s="316"/>
      <c r="E5" s="317"/>
      <c r="F5" s="318"/>
      <c r="G5" s="319"/>
      <c r="H5" s="320">
        <f t="shared" si="2"/>
        <v>0</v>
      </c>
      <c r="I5" s="321"/>
      <c r="J5" s="309"/>
      <c r="K5" s="151">
        <f t="shared" si="3"/>
        <v>0</v>
      </c>
      <c r="L5" s="65">
        <f t="shared" si="0"/>
        <v>0</v>
      </c>
      <c r="M5" s="179">
        <f t="shared" si="4"/>
        <v>0</v>
      </c>
      <c r="N5" s="142">
        <f t="shared" si="5"/>
        <v>0</v>
      </c>
      <c r="O5" s="92"/>
      <c r="P5" s="141" t="str">
        <f t="shared" si="6"/>
        <v/>
      </c>
      <c r="Q5" s="122"/>
      <c r="R5" s="152">
        <f t="shared" si="1"/>
        <v>0</v>
      </c>
      <c r="S5" s="65">
        <f t="shared" si="7"/>
        <v>0</v>
      </c>
      <c r="T5" s="64">
        <f t="shared" si="8"/>
        <v>0</v>
      </c>
      <c r="U5" s="144">
        <f t="shared" si="9"/>
        <v>0</v>
      </c>
      <c r="V5" s="92"/>
      <c r="W5" s="141" t="str">
        <f t="shared" si="10"/>
        <v/>
      </c>
      <c r="X5" s="126"/>
    </row>
    <row r="6" spans="1:24" s="22" customFormat="1" ht="24" customHeight="1" x14ac:dyDescent="0.2">
      <c r="A6" s="312">
        <v>4</v>
      </c>
      <c r="B6" s="306"/>
      <c r="C6" s="306"/>
      <c r="D6" s="316"/>
      <c r="E6" s="317"/>
      <c r="F6" s="318"/>
      <c r="G6" s="319"/>
      <c r="H6" s="320">
        <f t="shared" si="2"/>
        <v>0</v>
      </c>
      <c r="I6" s="321"/>
      <c r="J6" s="309"/>
      <c r="K6" s="151">
        <f t="shared" si="3"/>
        <v>0</v>
      </c>
      <c r="L6" s="65">
        <f t="shared" si="0"/>
        <v>0</v>
      </c>
      <c r="M6" s="179">
        <f t="shared" si="4"/>
        <v>0</v>
      </c>
      <c r="N6" s="142">
        <f t="shared" si="5"/>
        <v>0</v>
      </c>
      <c r="O6" s="92"/>
      <c r="P6" s="141" t="str">
        <f t="shared" si="6"/>
        <v/>
      </c>
      <c r="Q6" s="122"/>
      <c r="R6" s="152">
        <f t="shared" si="1"/>
        <v>0</v>
      </c>
      <c r="S6" s="65">
        <f t="shared" si="7"/>
        <v>0</v>
      </c>
      <c r="T6" s="64">
        <f t="shared" si="8"/>
        <v>0</v>
      </c>
      <c r="U6" s="144">
        <f t="shared" si="9"/>
        <v>0</v>
      </c>
      <c r="V6" s="92"/>
      <c r="W6" s="141" t="str">
        <f t="shared" si="10"/>
        <v/>
      </c>
      <c r="X6" s="126"/>
    </row>
    <row r="7" spans="1:24" s="22" customFormat="1" ht="24" customHeight="1" x14ac:dyDescent="0.2">
      <c r="A7" s="312">
        <v>5</v>
      </c>
      <c r="B7" s="306"/>
      <c r="C7" s="306"/>
      <c r="D7" s="316"/>
      <c r="E7" s="317"/>
      <c r="F7" s="318"/>
      <c r="G7" s="319"/>
      <c r="H7" s="320">
        <f t="shared" si="2"/>
        <v>0</v>
      </c>
      <c r="I7" s="321"/>
      <c r="J7" s="309"/>
      <c r="K7" s="151">
        <f t="shared" si="3"/>
        <v>0</v>
      </c>
      <c r="L7" s="65">
        <f t="shared" si="0"/>
        <v>0</v>
      </c>
      <c r="M7" s="179">
        <f t="shared" si="4"/>
        <v>0</v>
      </c>
      <c r="N7" s="142">
        <f t="shared" si="5"/>
        <v>0</v>
      </c>
      <c r="O7" s="92"/>
      <c r="P7" s="141" t="str">
        <f t="shared" si="6"/>
        <v/>
      </c>
      <c r="Q7" s="122"/>
      <c r="R7" s="152">
        <f t="shared" si="1"/>
        <v>0</v>
      </c>
      <c r="S7" s="65">
        <f t="shared" si="7"/>
        <v>0</v>
      </c>
      <c r="T7" s="64">
        <f t="shared" si="8"/>
        <v>0</v>
      </c>
      <c r="U7" s="144">
        <f t="shared" si="9"/>
        <v>0</v>
      </c>
      <c r="V7" s="92"/>
      <c r="W7" s="141" t="str">
        <f t="shared" si="10"/>
        <v/>
      </c>
      <c r="X7" s="126"/>
    </row>
    <row r="8" spans="1:24" s="22" customFormat="1" ht="24" customHeight="1" x14ac:dyDescent="0.2">
      <c r="A8" s="312">
        <v>6</v>
      </c>
      <c r="B8" s="306"/>
      <c r="C8" s="306"/>
      <c r="D8" s="316"/>
      <c r="E8" s="317"/>
      <c r="F8" s="318"/>
      <c r="G8" s="319"/>
      <c r="H8" s="320">
        <f t="shared" si="2"/>
        <v>0</v>
      </c>
      <c r="I8" s="321"/>
      <c r="J8" s="309"/>
      <c r="K8" s="151">
        <f t="shared" si="3"/>
        <v>0</v>
      </c>
      <c r="L8" s="65">
        <f t="shared" si="0"/>
        <v>0</v>
      </c>
      <c r="M8" s="179">
        <f t="shared" si="4"/>
        <v>0</v>
      </c>
      <c r="N8" s="142">
        <f t="shared" si="5"/>
        <v>0</v>
      </c>
      <c r="O8" s="92"/>
      <c r="P8" s="141" t="str">
        <f t="shared" si="6"/>
        <v/>
      </c>
      <c r="Q8" s="122"/>
      <c r="R8" s="152">
        <f t="shared" si="1"/>
        <v>0</v>
      </c>
      <c r="S8" s="65">
        <f t="shared" si="7"/>
        <v>0</v>
      </c>
      <c r="T8" s="64">
        <f t="shared" si="8"/>
        <v>0</v>
      </c>
      <c r="U8" s="144">
        <f t="shared" si="9"/>
        <v>0</v>
      </c>
      <c r="V8" s="92"/>
      <c r="W8" s="141" t="str">
        <f t="shared" si="10"/>
        <v/>
      </c>
      <c r="X8" s="126"/>
    </row>
    <row r="9" spans="1:24" s="22" customFormat="1" ht="24" customHeight="1" x14ac:dyDescent="0.2">
      <c r="A9" s="312">
        <v>7</v>
      </c>
      <c r="B9" s="306"/>
      <c r="C9" s="306"/>
      <c r="D9" s="316"/>
      <c r="E9" s="317"/>
      <c r="F9" s="318"/>
      <c r="G9" s="319"/>
      <c r="H9" s="320">
        <f t="shared" si="2"/>
        <v>0</v>
      </c>
      <c r="I9" s="321"/>
      <c r="J9" s="309"/>
      <c r="K9" s="151">
        <f t="shared" si="3"/>
        <v>0</v>
      </c>
      <c r="L9" s="65">
        <f t="shared" si="0"/>
        <v>0</v>
      </c>
      <c r="M9" s="179">
        <f t="shared" si="4"/>
        <v>0</v>
      </c>
      <c r="N9" s="142">
        <f t="shared" si="5"/>
        <v>0</v>
      </c>
      <c r="O9" s="92"/>
      <c r="P9" s="141" t="str">
        <f t="shared" si="6"/>
        <v/>
      </c>
      <c r="Q9" s="122"/>
      <c r="R9" s="152">
        <f t="shared" si="1"/>
        <v>0</v>
      </c>
      <c r="S9" s="65">
        <f t="shared" si="7"/>
        <v>0</v>
      </c>
      <c r="T9" s="64">
        <f t="shared" si="8"/>
        <v>0</v>
      </c>
      <c r="U9" s="144">
        <f t="shared" si="9"/>
        <v>0</v>
      </c>
      <c r="V9" s="92"/>
      <c r="W9" s="141" t="str">
        <f t="shared" si="10"/>
        <v/>
      </c>
      <c r="X9" s="126"/>
    </row>
    <row r="10" spans="1:24" s="22" customFormat="1" ht="24" customHeight="1" x14ac:dyDescent="0.2">
      <c r="A10" s="312">
        <v>8</v>
      </c>
      <c r="B10" s="306"/>
      <c r="C10" s="306"/>
      <c r="D10" s="316"/>
      <c r="E10" s="317"/>
      <c r="F10" s="318"/>
      <c r="G10" s="319"/>
      <c r="H10" s="320">
        <f t="shared" si="2"/>
        <v>0</v>
      </c>
      <c r="I10" s="321"/>
      <c r="J10" s="309"/>
      <c r="K10" s="151">
        <f t="shared" si="3"/>
        <v>0</v>
      </c>
      <c r="L10" s="65">
        <f t="shared" si="0"/>
        <v>0</v>
      </c>
      <c r="M10" s="179">
        <f t="shared" si="4"/>
        <v>0</v>
      </c>
      <c r="N10" s="142">
        <f t="shared" si="5"/>
        <v>0</v>
      </c>
      <c r="O10" s="92"/>
      <c r="P10" s="141" t="str">
        <f t="shared" si="6"/>
        <v/>
      </c>
      <c r="Q10" s="122"/>
      <c r="R10" s="152">
        <f t="shared" si="1"/>
        <v>0</v>
      </c>
      <c r="S10" s="65">
        <f t="shared" si="7"/>
        <v>0</v>
      </c>
      <c r="T10" s="64">
        <f t="shared" si="8"/>
        <v>0</v>
      </c>
      <c r="U10" s="144">
        <f t="shared" si="9"/>
        <v>0</v>
      </c>
      <c r="V10" s="92"/>
      <c r="W10" s="141" t="str">
        <f t="shared" si="10"/>
        <v/>
      </c>
      <c r="X10" s="126"/>
    </row>
    <row r="11" spans="1:24" s="22" customFormat="1" ht="24" customHeight="1" x14ac:dyDescent="0.2">
      <c r="A11" s="312">
        <v>9</v>
      </c>
      <c r="B11" s="306"/>
      <c r="C11" s="306"/>
      <c r="D11" s="316"/>
      <c r="E11" s="317"/>
      <c r="F11" s="322"/>
      <c r="G11" s="319"/>
      <c r="H11" s="320">
        <f t="shared" si="2"/>
        <v>0</v>
      </c>
      <c r="I11" s="321"/>
      <c r="J11" s="309"/>
      <c r="K11" s="151">
        <f t="shared" si="3"/>
        <v>0</v>
      </c>
      <c r="L11" s="65">
        <f t="shared" si="0"/>
        <v>0</v>
      </c>
      <c r="M11" s="179">
        <f t="shared" si="4"/>
        <v>0</v>
      </c>
      <c r="N11" s="142">
        <f t="shared" si="5"/>
        <v>0</v>
      </c>
      <c r="O11" s="92"/>
      <c r="P11" s="141" t="str">
        <f t="shared" si="6"/>
        <v/>
      </c>
      <c r="Q11" s="122"/>
      <c r="R11" s="152">
        <f t="shared" si="1"/>
        <v>0</v>
      </c>
      <c r="S11" s="65">
        <f t="shared" si="7"/>
        <v>0</v>
      </c>
      <c r="T11" s="64">
        <f t="shared" si="8"/>
        <v>0</v>
      </c>
      <c r="U11" s="144">
        <f t="shared" si="9"/>
        <v>0</v>
      </c>
      <c r="V11" s="92"/>
      <c r="W11" s="141" t="str">
        <f t="shared" si="10"/>
        <v/>
      </c>
      <c r="X11" s="126"/>
    </row>
    <row r="12" spans="1:24" s="22" customFormat="1" ht="24" customHeight="1" x14ac:dyDescent="0.2">
      <c r="A12" s="312">
        <v>10</v>
      </c>
      <c r="B12" s="306"/>
      <c r="C12" s="306"/>
      <c r="D12" s="316"/>
      <c r="E12" s="317"/>
      <c r="F12" s="318"/>
      <c r="G12" s="319"/>
      <c r="H12" s="320">
        <f t="shared" si="2"/>
        <v>0</v>
      </c>
      <c r="I12" s="321"/>
      <c r="J12" s="309"/>
      <c r="K12" s="151">
        <f t="shared" si="3"/>
        <v>0</v>
      </c>
      <c r="L12" s="65">
        <f t="shared" si="0"/>
        <v>0</v>
      </c>
      <c r="M12" s="179">
        <f t="shared" si="4"/>
        <v>0</v>
      </c>
      <c r="N12" s="142">
        <f t="shared" si="5"/>
        <v>0</v>
      </c>
      <c r="O12" s="92"/>
      <c r="P12" s="141" t="str">
        <f t="shared" si="6"/>
        <v/>
      </c>
      <c r="Q12" s="122"/>
      <c r="R12" s="152">
        <f t="shared" si="1"/>
        <v>0</v>
      </c>
      <c r="S12" s="65">
        <f t="shared" si="7"/>
        <v>0</v>
      </c>
      <c r="T12" s="64">
        <f t="shared" si="8"/>
        <v>0</v>
      </c>
      <c r="U12" s="144">
        <f t="shared" si="9"/>
        <v>0</v>
      </c>
      <c r="V12" s="92"/>
      <c r="W12" s="141" t="str">
        <f t="shared" si="10"/>
        <v/>
      </c>
      <c r="X12" s="126"/>
    </row>
    <row r="13" spans="1:24" s="22" customFormat="1" ht="24" customHeight="1" x14ac:dyDescent="0.2">
      <c r="A13" s="312">
        <v>11</v>
      </c>
      <c r="B13" s="306"/>
      <c r="C13" s="306"/>
      <c r="D13" s="316"/>
      <c r="E13" s="317"/>
      <c r="F13" s="318"/>
      <c r="G13" s="319"/>
      <c r="H13" s="320">
        <f t="shared" si="2"/>
        <v>0</v>
      </c>
      <c r="I13" s="321"/>
      <c r="J13" s="309"/>
      <c r="K13" s="151">
        <f t="shared" si="3"/>
        <v>0</v>
      </c>
      <c r="L13" s="65">
        <f t="shared" si="0"/>
        <v>0</v>
      </c>
      <c r="M13" s="179">
        <f t="shared" si="4"/>
        <v>0</v>
      </c>
      <c r="N13" s="142">
        <f t="shared" si="5"/>
        <v>0</v>
      </c>
      <c r="O13" s="92"/>
      <c r="P13" s="141" t="str">
        <f t="shared" si="6"/>
        <v/>
      </c>
      <c r="Q13" s="122"/>
      <c r="R13" s="152">
        <f t="shared" si="1"/>
        <v>0</v>
      </c>
      <c r="S13" s="65">
        <f t="shared" si="7"/>
        <v>0</v>
      </c>
      <c r="T13" s="64">
        <f t="shared" si="8"/>
        <v>0</v>
      </c>
      <c r="U13" s="144">
        <f t="shared" si="9"/>
        <v>0</v>
      </c>
      <c r="V13" s="92"/>
      <c r="W13" s="141" t="str">
        <f t="shared" si="10"/>
        <v/>
      </c>
      <c r="X13" s="126"/>
    </row>
    <row r="14" spans="1:24" s="22" customFormat="1" ht="24" customHeight="1" x14ac:dyDescent="0.2">
      <c r="A14" s="312">
        <v>12</v>
      </c>
      <c r="B14" s="306"/>
      <c r="C14" s="306"/>
      <c r="D14" s="316"/>
      <c r="E14" s="317"/>
      <c r="F14" s="318"/>
      <c r="G14" s="319"/>
      <c r="H14" s="320">
        <f t="shared" si="2"/>
        <v>0</v>
      </c>
      <c r="I14" s="321"/>
      <c r="J14" s="309"/>
      <c r="K14" s="151">
        <f t="shared" si="3"/>
        <v>0</v>
      </c>
      <c r="L14" s="65">
        <f t="shared" si="0"/>
        <v>0</v>
      </c>
      <c r="M14" s="179">
        <f t="shared" si="4"/>
        <v>0</v>
      </c>
      <c r="N14" s="142">
        <f t="shared" si="5"/>
        <v>0</v>
      </c>
      <c r="O14" s="92"/>
      <c r="P14" s="141" t="str">
        <f t="shared" si="6"/>
        <v/>
      </c>
      <c r="Q14" s="122"/>
      <c r="R14" s="152">
        <f t="shared" si="1"/>
        <v>0</v>
      </c>
      <c r="S14" s="65">
        <f t="shared" si="7"/>
        <v>0</v>
      </c>
      <c r="T14" s="64">
        <f t="shared" si="8"/>
        <v>0</v>
      </c>
      <c r="U14" s="144">
        <f t="shared" si="9"/>
        <v>0</v>
      </c>
      <c r="V14" s="92"/>
      <c r="W14" s="141" t="str">
        <f t="shared" si="10"/>
        <v/>
      </c>
      <c r="X14" s="126"/>
    </row>
    <row r="15" spans="1:24" s="22" customFormat="1" ht="24" customHeight="1" x14ac:dyDescent="0.2">
      <c r="A15" s="312">
        <v>13</v>
      </c>
      <c r="B15" s="306"/>
      <c r="C15" s="306"/>
      <c r="D15" s="316"/>
      <c r="E15" s="317"/>
      <c r="F15" s="318"/>
      <c r="G15" s="319"/>
      <c r="H15" s="320">
        <f t="shared" si="2"/>
        <v>0</v>
      </c>
      <c r="I15" s="321"/>
      <c r="J15" s="309"/>
      <c r="K15" s="151">
        <f t="shared" si="3"/>
        <v>0</v>
      </c>
      <c r="L15" s="65">
        <f t="shared" si="0"/>
        <v>0</v>
      </c>
      <c r="M15" s="179">
        <f t="shared" si="4"/>
        <v>0</v>
      </c>
      <c r="N15" s="142">
        <f t="shared" si="5"/>
        <v>0</v>
      </c>
      <c r="O15" s="92"/>
      <c r="P15" s="141" t="str">
        <f t="shared" si="6"/>
        <v/>
      </c>
      <c r="Q15" s="122"/>
      <c r="R15" s="152">
        <f t="shared" si="1"/>
        <v>0</v>
      </c>
      <c r="S15" s="65">
        <f t="shared" si="7"/>
        <v>0</v>
      </c>
      <c r="T15" s="64">
        <f t="shared" si="8"/>
        <v>0</v>
      </c>
      <c r="U15" s="144">
        <f t="shared" si="9"/>
        <v>0</v>
      </c>
      <c r="V15" s="92"/>
      <c r="W15" s="141" t="str">
        <f t="shared" si="10"/>
        <v/>
      </c>
      <c r="X15" s="126"/>
    </row>
    <row r="16" spans="1:24" s="22" customFormat="1" ht="24" customHeight="1" x14ac:dyDescent="0.2">
      <c r="A16" s="312">
        <v>14</v>
      </c>
      <c r="B16" s="306"/>
      <c r="C16" s="306"/>
      <c r="D16" s="316"/>
      <c r="E16" s="317"/>
      <c r="F16" s="318"/>
      <c r="G16" s="319"/>
      <c r="H16" s="320">
        <f t="shared" si="2"/>
        <v>0</v>
      </c>
      <c r="I16" s="321"/>
      <c r="J16" s="309"/>
      <c r="K16" s="151">
        <f t="shared" si="3"/>
        <v>0</v>
      </c>
      <c r="L16" s="65">
        <f t="shared" si="0"/>
        <v>0</v>
      </c>
      <c r="M16" s="179">
        <f t="shared" si="4"/>
        <v>0</v>
      </c>
      <c r="N16" s="142">
        <f t="shared" si="5"/>
        <v>0</v>
      </c>
      <c r="O16" s="92"/>
      <c r="P16" s="141" t="str">
        <f t="shared" si="6"/>
        <v/>
      </c>
      <c r="Q16" s="122"/>
      <c r="R16" s="152">
        <f t="shared" si="1"/>
        <v>0</v>
      </c>
      <c r="S16" s="65">
        <f t="shared" si="7"/>
        <v>0</v>
      </c>
      <c r="T16" s="64">
        <f t="shared" si="8"/>
        <v>0</v>
      </c>
      <c r="U16" s="144">
        <f t="shared" si="9"/>
        <v>0</v>
      </c>
      <c r="V16" s="92"/>
      <c r="W16" s="141" t="str">
        <f t="shared" si="10"/>
        <v/>
      </c>
      <c r="X16" s="126"/>
    </row>
    <row r="17" spans="1:24" s="22" customFormat="1" ht="24" customHeight="1" x14ac:dyDescent="0.2">
      <c r="A17" s="312">
        <v>15</v>
      </c>
      <c r="B17" s="306"/>
      <c r="C17" s="306"/>
      <c r="D17" s="316"/>
      <c r="E17" s="317"/>
      <c r="F17" s="318"/>
      <c r="G17" s="319"/>
      <c r="H17" s="320">
        <f t="shared" si="2"/>
        <v>0</v>
      </c>
      <c r="I17" s="321"/>
      <c r="J17" s="309"/>
      <c r="K17" s="151">
        <f t="shared" si="3"/>
        <v>0</v>
      </c>
      <c r="L17" s="65">
        <f t="shared" si="0"/>
        <v>0</v>
      </c>
      <c r="M17" s="179">
        <f t="shared" si="4"/>
        <v>0</v>
      </c>
      <c r="N17" s="142">
        <f t="shared" si="5"/>
        <v>0</v>
      </c>
      <c r="O17" s="92"/>
      <c r="P17" s="141" t="str">
        <f t="shared" si="6"/>
        <v/>
      </c>
      <c r="Q17" s="122"/>
      <c r="R17" s="152">
        <f t="shared" si="1"/>
        <v>0</v>
      </c>
      <c r="S17" s="65">
        <f t="shared" si="7"/>
        <v>0</v>
      </c>
      <c r="T17" s="64">
        <f t="shared" si="8"/>
        <v>0</v>
      </c>
      <c r="U17" s="144">
        <f t="shared" si="9"/>
        <v>0</v>
      </c>
      <c r="V17" s="92"/>
      <c r="W17" s="141" t="str">
        <f t="shared" si="10"/>
        <v/>
      </c>
      <c r="X17" s="126"/>
    </row>
    <row r="18" spans="1:24" s="22" customFormat="1" ht="24" customHeight="1" x14ac:dyDescent="0.2">
      <c r="A18" s="312">
        <v>16</v>
      </c>
      <c r="B18" s="306"/>
      <c r="C18" s="306"/>
      <c r="D18" s="316"/>
      <c r="E18" s="317"/>
      <c r="F18" s="318"/>
      <c r="G18" s="319"/>
      <c r="H18" s="320">
        <f t="shared" si="2"/>
        <v>0</v>
      </c>
      <c r="I18" s="321"/>
      <c r="J18" s="309"/>
      <c r="K18" s="151">
        <f t="shared" si="3"/>
        <v>0</v>
      </c>
      <c r="L18" s="65">
        <f t="shared" si="0"/>
        <v>0</v>
      </c>
      <c r="M18" s="179">
        <f t="shared" si="4"/>
        <v>0</v>
      </c>
      <c r="N18" s="142">
        <f t="shared" si="5"/>
        <v>0</v>
      </c>
      <c r="O18" s="92"/>
      <c r="P18" s="141" t="str">
        <f t="shared" si="6"/>
        <v/>
      </c>
      <c r="Q18" s="122"/>
      <c r="R18" s="152">
        <f t="shared" si="1"/>
        <v>0</v>
      </c>
      <c r="S18" s="65">
        <f t="shared" si="7"/>
        <v>0</v>
      </c>
      <c r="T18" s="64">
        <f t="shared" si="8"/>
        <v>0</v>
      </c>
      <c r="U18" s="144">
        <f t="shared" si="9"/>
        <v>0</v>
      </c>
      <c r="V18" s="92"/>
      <c r="W18" s="141" t="str">
        <f t="shared" si="10"/>
        <v/>
      </c>
      <c r="X18" s="126"/>
    </row>
    <row r="19" spans="1:24" s="22" customFormat="1" ht="24" customHeight="1" x14ac:dyDescent="0.2">
      <c r="A19" s="312">
        <v>17</v>
      </c>
      <c r="B19" s="306"/>
      <c r="C19" s="306"/>
      <c r="D19" s="316"/>
      <c r="E19" s="317"/>
      <c r="F19" s="318"/>
      <c r="G19" s="319"/>
      <c r="H19" s="320">
        <f t="shared" si="2"/>
        <v>0</v>
      </c>
      <c r="I19" s="321"/>
      <c r="J19" s="309"/>
      <c r="K19" s="151">
        <f t="shared" si="3"/>
        <v>0</v>
      </c>
      <c r="L19" s="65">
        <f t="shared" si="0"/>
        <v>0</v>
      </c>
      <c r="M19" s="179">
        <f t="shared" si="4"/>
        <v>0</v>
      </c>
      <c r="N19" s="142">
        <f t="shared" si="5"/>
        <v>0</v>
      </c>
      <c r="O19" s="92"/>
      <c r="P19" s="141" t="str">
        <f t="shared" si="6"/>
        <v/>
      </c>
      <c r="Q19" s="122"/>
      <c r="R19" s="152">
        <f t="shared" si="1"/>
        <v>0</v>
      </c>
      <c r="S19" s="65">
        <f t="shared" si="7"/>
        <v>0</v>
      </c>
      <c r="T19" s="64">
        <f t="shared" si="8"/>
        <v>0</v>
      </c>
      <c r="U19" s="144">
        <f t="shared" si="9"/>
        <v>0</v>
      </c>
      <c r="V19" s="92"/>
      <c r="W19" s="141" t="str">
        <f t="shared" si="10"/>
        <v/>
      </c>
      <c r="X19" s="126"/>
    </row>
    <row r="20" spans="1:24" s="22" customFormat="1" ht="24" customHeight="1" x14ac:dyDescent="0.2">
      <c r="A20" s="312">
        <v>18</v>
      </c>
      <c r="B20" s="306"/>
      <c r="C20" s="306"/>
      <c r="D20" s="316"/>
      <c r="E20" s="317"/>
      <c r="F20" s="318"/>
      <c r="G20" s="319"/>
      <c r="H20" s="320">
        <f t="shared" si="2"/>
        <v>0</v>
      </c>
      <c r="I20" s="321"/>
      <c r="J20" s="309"/>
      <c r="K20" s="151">
        <f t="shared" si="3"/>
        <v>0</v>
      </c>
      <c r="L20" s="65">
        <f t="shared" si="0"/>
        <v>0</v>
      </c>
      <c r="M20" s="179">
        <f t="shared" si="4"/>
        <v>0</v>
      </c>
      <c r="N20" s="142">
        <f t="shared" si="5"/>
        <v>0</v>
      </c>
      <c r="O20" s="92"/>
      <c r="P20" s="141" t="str">
        <f t="shared" si="6"/>
        <v/>
      </c>
      <c r="Q20" s="122"/>
      <c r="R20" s="152">
        <f t="shared" si="1"/>
        <v>0</v>
      </c>
      <c r="S20" s="65">
        <f t="shared" si="7"/>
        <v>0</v>
      </c>
      <c r="T20" s="64">
        <f t="shared" si="8"/>
        <v>0</v>
      </c>
      <c r="U20" s="144">
        <f t="shared" si="9"/>
        <v>0</v>
      </c>
      <c r="V20" s="92"/>
      <c r="W20" s="141" t="str">
        <f t="shared" si="10"/>
        <v/>
      </c>
      <c r="X20" s="126"/>
    </row>
    <row r="21" spans="1:24" s="22" customFormat="1" ht="24" customHeight="1" x14ac:dyDescent="0.2">
      <c r="A21" s="312">
        <v>19</v>
      </c>
      <c r="B21" s="306"/>
      <c r="C21" s="306"/>
      <c r="D21" s="316"/>
      <c r="E21" s="317"/>
      <c r="F21" s="318"/>
      <c r="G21" s="319"/>
      <c r="H21" s="320">
        <f t="shared" si="2"/>
        <v>0</v>
      </c>
      <c r="I21" s="321"/>
      <c r="J21" s="309"/>
      <c r="K21" s="151">
        <f t="shared" si="3"/>
        <v>0</v>
      </c>
      <c r="L21" s="65">
        <f t="shared" si="0"/>
        <v>0</v>
      </c>
      <c r="M21" s="179">
        <f t="shared" si="4"/>
        <v>0</v>
      </c>
      <c r="N21" s="142">
        <f t="shared" si="5"/>
        <v>0</v>
      </c>
      <c r="O21" s="92"/>
      <c r="P21" s="141" t="str">
        <f t="shared" si="6"/>
        <v/>
      </c>
      <c r="Q21" s="122"/>
      <c r="R21" s="152">
        <f t="shared" si="1"/>
        <v>0</v>
      </c>
      <c r="S21" s="65">
        <f t="shared" si="7"/>
        <v>0</v>
      </c>
      <c r="T21" s="64">
        <f t="shared" si="8"/>
        <v>0</v>
      </c>
      <c r="U21" s="144">
        <f t="shared" si="9"/>
        <v>0</v>
      </c>
      <c r="V21" s="92"/>
      <c r="W21" s="141" t="str">
        <f t="shared" si="10"/>
        <v/>
      </c>
      <c r="X21" s="126"/>
    </row>
    <row r="22" spans="1:24" s="22" customFormat="1" ht="24" customHeight="1" x14ac:dyDescent="0.2">
      <c r="A22" s="312">
        <v>20</v>
      </c>
      <c r="B22" s="306"/>
      <c r="C22" s="306"/>
      <c r="D22" s="316"/>
      <c r="E22" s="317"/>
      <c r="F22" s="318"/>
      <c r="G22" s="319"/>
      <c r="H22" s="320">
        <f t="shared" si="2"/>
        <v>0</v>
      </c>
      <c r="I22" s="321"/>
      <c r="J22" s="309"/>
      <c r="K22" s="151">
        <f t="shared" si="3"/>
        <v>0</v>
      </c>
      <c r="L22" s="65">
        <f t="shared" si="0"/>
        <v>0</v>
      </c>
      <c r="M22" s="179">
        <f t="shared" si="4"/>
        <v>0</v>
      </c>
      <c r="N22" s="142">
        <f t="shared" si="5"/>
        <v>0</v>
      </c>
      <c r="O22" s="92"/>
      <c r="P22" s="141" t="str">
        <f t="shared" si="6"/>
        <v/>
      </c>
      <c r="Q22" s="122"/>
      <c r="R22" s="152">
        <f t="shared" si="1"/>
        <v>0</v>
      </c>
      <c r="S22" s="65">
        <f t="shared" si="7"/>
        <v>0</v>
      </c>
      <c r="T22" s="64">
        <f t="shared" si="8"/>
        <v>0</v>
      </c>
      <c r="U22" s="144">
        <f t="shared" si="9"/>
        <v>0</v>
      </c>
      <c r="V22" s="92"/>
      <c r="W22" s="141" t="str">
        <f t="shared" si="10"/>
        <v/>
      </c>
      <c r="X22" s="126"/>
    </row>
    <row r="23" spans="1:24" s="22" customFormat="1" ht="24" customHeight="1" x14ac:dyDescent="0.2">
      <c r="A23" s="312">
        <v>21</v>
      </c>
      <c r="B23" s="306"/>
      <c r="C23" s="306"/>
      <c r="D23" s="316"/>
      <c r="E23" s="317"/>
      <c r="F23" s="318"/>
      <c r="G23" s="319"/>
      <c r="H23" s="320">
        <f t="shared" si="2"/>
        <v>0</v>
      </c>
      <c r="I23" s="321"/>
      <c r="J23" s="309"/>
      <c r="K23" s="151">
        <f t="shared" si="3"/>
        <v>0</v>
      </c>
      <c r="L23" s="65">
        <f t="shared" si="0"/>
        <v>0</v>
      </c>
      <c r="M23" s="179">
        <f t="shared" si="4"/>
        <v>0</v>
      </c>
      <c r="N23" s="142">
        <f t="shared" si="5"/>
        <v>0</v>
      </c>
      <c r="O23" s="92"/>
      <c r="P23" s="141" t="str">
        <f t="shared" si="6"/>
        <v/>
      </c>
      <c r="Q23" s="122"/>
      <c r="R23" s="152">
        <f t="shared" si="1"/>
        <v>0</v>
      </c>
      <c r="S23" s="65">
        <f t="shared" si="7"/>
        <v>0</v>
      </c>
      <c r="T23" s="64">
        <f t="shared" si="8"/>
        <v>0</v>
      </c>
      <c r="U23" s="144">
        <f t="shared" si="9"/>
        <v>0</v>
      </c>
      <c r="V23" s="92"/>
      <c r="W23" s="141" t="str">
        <f t="shared" si="10"/>
        <v/>
      </c>
      <c r="X23" s="126"/>
    </row>
    <row r="24" spans="1:24" s="22" customFormat="1" ht="24" customHeight="1" x14ac:dyDescent="0.2">
      <c r="A24" s="312">
        <v>22</v>
      </c>
      <c r="B24" s="306"/>
      <c r="C24" s="306"/>
      <c r="D24" s="316"/>
      <c r="E24" s="317"/>
      <c r="F24" s="318"/>
      <c r="G24" s="319"/>
      <c r="H24" s="320">
        <f t="shared" si="2"/>
        <v>0</v>
      </c>
      <c r="I24" s="321"/>
      <c r="J24" s="309"/>
      <c r="K24" s="151">
        <f t="shared" si="3"/>
        <v>0</v>
      </c>
      <c r="L24" s="65">
        <f t="shared" si="0"/>
        <v>0</v>
      </c>
      <c r="M24" s="179">
        <f t="shared" si="4"/>
        <v>0</v>
      </c>
      <c r="N24" s="142">
        <f t="shared" si="5"/>
        <v>0</v>
      </c>
      <c r="O24" s="92"/>
      <c r="P24" s="141" t="str">
        <f t="shared" si="6"/>
        <v/>
      </c>
      <c r="Q24" s="122"/>
      <c r="R24" s="152">
        <f t="shared" si="1"/>
        <v>0</v>
      </c>
      <c r="S24" s="65">
        <f t="shared" si="7"/>
        <v>0</v>
      </c>
      <c r="T24" s="64">
        <f t="shared" si="8"/>
        <v>0</v>
      </c>
      <c r="U24" s="144">
        <f t="shared" si="9"/>
        <v>0</v>
      </c>
      <c r="V24" s="92"/>
      <c r="W24" s="141" t="str">
        <f t="shared" si="10"/>
        <v/>
      </c>
      <c r="X24" s="126"/>
    </row>
    <row r="25" spans="1:24" s="22" customFormat="1" ht="24" customHeight="1" x14ac:dyDescent="0.2">
      <c r="A25" s="312">
        <v>23</v>
      </c>
      <c r="B25" s="306"/>
      <c r="C25" s="306"/>
      <c r="D25" s="316"/>
      <c r="E25" s="317"/>
      <c r="F25" s="318"/>
      <c r="G25" s="319"/>
      <c r="H25" s="320">
        <f t="shared" si="2"/>
        <v>0</v>
      </c>
      <c r="I25" s="321"/>
      <c r="J25" s="309"/>
      <c r="K25" s="151">
        <f t="shared" si="3"/>
        <v>0</v>
      </c>
      <c r="L25" s="65">
        <f t="shared" si="0"/>
        <v>0</v>
      </c>
      <c r="M25" s="179">
        <f t="shared" si="4"/>
        <v>0</v>
      </c>
      <c r="N25" s="142">
        <f t="shared" si="5"/>
        <v>0</v>
      </c>
      <c r="O25" s="92"/>
      <c r="P25" s="141" t="str">
        <f t="shared" si="6"/>
        <v/>
      </c>
      <c r="Q25" s="122"/>
      <c r="R25" s="152">
        <f t="shared" si="1"/>
        <v>0</v>
      </c>
      <c r="S25" s="65">
        <f t="shared" si="7"/>
        <v>0</v>
      </c>
      <c r="T25" s="64">
        <f t="shared" si="8"/>
        <v>0</v>
      </c>
      <c r="U25" s="144">
        <f t="shared" si="9"/>
        <v>0</v>
      </c>
      <c r="V25" s="92"/>
      <c r="W25" s="141" t="str">
        <f t="shared" si="10"/>
        <v/>
      </c>
      <c r="X25" s="126"/>
    </row>
    <row r="26" spans="1:24" s="22" customFormat="1" ht="24" customHeight="1" x14ac:dyDescent="0.2">
      <c r="A26" s="312">
        <v>24</v>
      </c>
      <c r="B26" s="306"/>
      <c r="C26" s="306"/>
      <c r="D26" s="316"/>
      <c r="E26" s="317"/>
      <c r="F26" s="318"/>
      <c r="G26" s="319"/>
      <c r="H26" s="320">
        <f t="shared" si="2"/>
        <v>0</v>
      </c>
      <c r="I26" s="321"/>
      <c r="J26" s="309"/>
      <c r="K26" s="151">
        <f t="shared" si="3"/>
        <v>0</v>
      </c>
      <c r="L26" s="65">
        <f t="shared" si="0"/>
        <v>0</v>
      </c>
      <c r="M26" s="179">
        <f t="shared" si="4"/>
        <v>0</v>
      </c>
      <c r="N26" s="142">
        <f t="shared" si="5"/>
        <v>0</v>
      </c>
      <c r="O26" s="92"/>
      <c r="P26" s="141" t="str">
        <f t="shared" si="6"/>
        <v/>
      </c>
      <c r="Q26" s="122"/>
      <c r="R26" s="152">
        <f t="shared" si="1"/>
        <v>0</v>
      </c>
      <c r="S26" s="65">
        <f t="shared" si="7"/>
        <v>0</v>
      </c>
      <c r="T26" s="64">
        <f t="shared" si="8"/>
        <v>0</v>
      </c>
      <c r="U26" s="144">
        <f t="shared" si="9"/>
        <v>0</v>
      </c>
      <c r="V26" s="92"/>
      <c r="W26" s="141" t="str">
        <f t="shared" si="10"/>
        <v/>
      </c>
      <c r="X26" s="126"/>
    </row>
    <row r="27" spans="1:24" s="22" customFormat="1" ht="24" customHeight="1" x14ac:dyDescent="0.2">
      <c r="A27" s="312">
        <v>25</v>
      </c>
      <c r="B27" s="306"/>
      <c r="C27" s="306"/>
      <c r="D27" s="316"/>
      <c r="E27" s="317"/>
      <c r="F27" s="318"/>
      <c r="G27" s="319"/>
      <c r="H27" s="320">
        <f t="shared" si="2"/>
        <v>0</v>
      </c>
      <c r="I27" s="321"/>
      <c r="J27" s="309"/>
      <c r="K27" s="151">
        <f t="shared" si="3"/>
        <v>0</v>
      </c>
      <c r="L27" s="65">
        <f t="shared" si="0"/>
        <v>0</v>
      </c>
      <c r="M27" s="179">
        <f t="shared" si="4"/>
        <v>0</v>
      </c>
      <c r="N27" s="142">
        <f t="shared" si="5"/>
        <v>0</v>
      </c>
      <c r="O27" s="92"/>
      <c r="P27" s="141" t="str">
        <f t="shared" si="6"/>
        <v/>
      </c>
      <c r="Q27" s="122"/>
      <c r="R27" s="152">
        <f t="shared" si="1"/>
        <v>0</v>
      </c>
      <c r="S27" s="65">
        <f t="shared" si="7"/>
        <v>0</v>
      </c>
      <c r="T27" s="64">
        <f t="shared" si="8"/>
        <v>0</v>
      </c>
      <c r="U27" s="144">
        <f t="shared" si="9"/>
        <v>0</v>
      </c>
      <c r="V27" s="92"/>
      <c r="W27" s="141" t="str">
        <f t="shared" si="10"/>
        <v/>
      </c>
      <c r="X27" s="126"/>
    </row>
    <row r="28" spans="1:24" s="22" customFormat="1" ht="24" customHeight="1" x14ac:dyDescent="0.2">
      <c r="A28" s="312">
        <v>26</v>
      </c>
      <c r="B28" s="306"/>
      <c r="C28" s="306"/>
      <c r="D28" s="316"/>
      <c r="E28" s="317"/>
      <c r="F28" s="318"/>
      <c r="G28" s="319"/>
      <c r="H28" s="320">
        <f t="shared" si="2"/>
        <v>0</v>
      </c>
      <c r="I28" s="321"/>
      <c r="J28" s="309"/>
      <c r="K28" s="151">
        <f t="shared" si="3"/>
        <v>0</v>
      </c>
      <c r="L28" s="65">
        <f t="shared" si="0"/>
        <v>0</v>
      </c>
      <c r="M28" s="179">
        <f t="shared" si="4"/>
        <v>0</v>
      </c>
      <c r="N28" s="142">
        <f t="shared" si="5"/>
        <v>0</v>
      </c>
      <c r="O28" s="92"/>
      <c r="P28" s="141" t="str">
        <f t="shared" si="6"/>
        <v/>
      </c>
      <c r="Q28" s="122"/>
      <c r="R28" s="152">
        <f t="shared" si="1"/>
        <v>0</v>
      </c>
      <c r="S28" s="65">
        <f t="shared" si="7"/>
        <v>0</v>
      </c>
      <c r="T28" s="64">
        <f t="shared" si="8"/>
        <v>0</v>
      </c>
      <c r="U28" s="144">
        <f t="shared" si="9"/>
        <v>0</v>
      </c>
      <c r="V28" s="92"/>
      <c r="W28" s="141" t="str">
        <f t="shared" si="10"/>
        <v/>
      </c>
      <c r="X28" s="126"/>
    </row>
    <row r="29" spans="1:24" s="22" customFormat="1" ht="24" customHeight="1" x14ac:dyDescent="0.2">
      <c r="A29" s="312">
        <v>27</v>
      </c>
      <c r="B29" s="306"/>
      <c r="C29" s="306"/>
      <c r="D29" s="316"/>
      <c r="E29" s="317"/>
      <c r="F29" s="318"/>
      <c r="G29" s="319"/>
      <c r="H29" s="320">
        <f t="shared" si="2"/>
        <v>0</v>
      </c>
      <c r="I29" s="321"/>
      <c r="J29" s="309"/>
      <c r="K29" s="151">
        <f t="shared" si="3"/>
        <v>0</v>
      </c>
      <c r="L29" s="65">
        <f t="shared" si="0"/>
        <v>0</v>
      </c>
      <c r="M29" s="179">
        <f t="shared" si="4"/>
        <v>0</v>
      </c>
      <c r="N29" s="142">
        <f t="shared" si="5"/>
        <v>0</v>
      </c>
      <c r="O29" s="92"/>
      <c r="P29" s="141" t="str">
        <f t="shared" si="6"/>
        <v/>
      </c>
      <c r="Q29" s="122"/>
      <c r="R29" s="152">
        <f t="shared" si="1"/>
        <v>0</v>
      </c>
      <c r="S29" s="65">
        <f t="shared" si="7"/>
        <v>0</v>
      </c>
      <c r="T29" s="64">
        <f t="shared" si="8"/>
        <v>0</v>
      </c>
      <c r="U29" s="144">
        <f t="shared" si="9"/>
        <v>0</v>
      </c>
      <c r="V29" s="92"/>
      <c r="W29" s="141" t="str">
        <f t="shared" si="10"/>
        <v/>
      </c>
      <c r="X29" s="126"/>
    </row>
    <row r="30" spans="1:24" s="22" customFormat="1" ht="24" customHeight="1" x14ac:dyDescent="0.2">
      <c r="A30" s="312">
        <v>28</v>
      </c>
      <c r="B30" s="306"/>
      <c r="C30" s="306"/>
      <c r="D30" s="316"/>
      <c r="E30" s="317"/>
      <c r="F30" s="318"/>
      <c r="G30" s="319"/>
      <c r="H30" s="320">
        <f t="shared" si="2"/>
        <v>0</v>
      </c>
      <c r="I30" s="321"/>
      <c r="J30" s="309"/>
      <c r="K30" s="151">
        <f t="shared" si="3"/>
        <v>0</v>
      </c>
      <c r="L30" s="65">
        <f t="shared" si="0"/>
        <v>0</v>
      </c>
      <c r="M30" s="179">
        <f t="shared" si="4"/>
        <v>0</v>
      </c>
      <c r="N30" s="142">
        <f t="shared" si="5"/>
        <v>0</v>
      </c>
      <c r="O30" s="92"/>
      <c r="P30" s="141" t="str">
        <f t="shared" si="6"/>
        <v/>
      </c>
      <c r="Q30" s="122"/>
      <c r="R30" s="152">
        <f t="shared" si="1"/>
        <v>0</v>
      </c>
      <c r="S30" s="65">
        <f t="shared" si="7"/>
        <v>0</v>
      </c>
      <c r="T30" s="64">
        <f t="shared" si="8"/>
        <v>0</v>
      </c>
      <c r="U30" s="144">
        <f t="shared" si="9"/>
        <v>0</v>
      </c>
      <c r="V30" s="92"/>
      <c r="W30" s="141" t="str">
        <f t="shared" si="10"/>
        <v/>
      </c>
      <c r="X30" s="126"/>
    </row>
    <row r="31" spans="1:24" s="22" customFormat="1" ht="24" customHeight="1" x14ac:dyDescent="0.2">
      <c r="A31" s="312">
        <v>29</v>
      </c>
      <c r="B31" s="306"/>
      <c r="C31" s="306"/>
      <c r="D31" s="316"/>
      <c r="E31" s="317"/>
      <c r="F31" s="318"/>
      <c r="G31" s="319"/>
      <c r="H31" s="320">
        <f t="shared" si="2"/>
        <v>0</v>
      </c>
      <c r="I31" s="321"/>
      <c r="J31" s="309"/>
      <c r="K31" s="151">
        <f t="shared" si="3"/>
        <v>0</v>
      </c>
      <c r="L31" s="65">
        <f t="shared" si="0"/>
        <v>0</v>
      </c>
      <c r="M31" s="179">
        <f t="shared" si="4"/>
        <v>0</v>
      </c>
      <c r="N31" s="142">
        <f t="shared" si="5"/>
        <v>0</v>
      </c>
      <c r="O31" s="92"/>
      <c r="P31" s="141" t="str">
        <f t="shared" si="6"/>
        <v/>
      </c>
      <c r="Q31" s="122"/>
      <c r="R31" s="152">
        <f t="shared" si="1"/>
        <v>0</v>
      </c>
      <c r="S31" s="65">
        <f t="shared" si="7"/>
        <v>0</v>
      </c>
      <c r="T31" s="64">
        <f t="shared" si="8"/>
        <v>0</v>
      </c>
      <c r="U31" s="144">
        <f t="shared" si="9"/>
        <v>0</v>
      </c>
      <c r="V31" s="92"/>
      <c r="W31" s="141" t="str">
        <f t="shared" si="10"/>
        <v/>
      </c>
      <c r="X31" s="126"/>
    </row>
    <row r="32" spans="1:24" s="22" customFormat="1" ht="24" customHeight="1" x14ac:dyDescent="0.2">
      <c r="A32" s="312">
        <v>30</v>
      </c>
      <c r="B32" s="306"/>
      <c r="C32" s="306"/>
      <c r="D32" s="316"/>
      <c r="E32" s="317"/>
      <c r="F32" s="318"/>
      <c r="G32" s="319"/>
      <c r="H32" s="320">
        <f t="shared" si="2"/>
        <v>0</v>
      </c>
      <c r="I32" s="321"/>
      <c r="J32" s="309"/>
      <c r="K32" s="151">
        <f t="shared" si="3"/>
        <v>0</v>
      </c>
      <c r="L32" s="65">
        <f t="shared" si="0"/>
        <v>0</v>
      </c>
      <c r="M32" s="179">
        <f t="shared" si="4"/>
        <v>0</v>
      </c>
      <c r="N32" s="142">
        <f t="shared" si="5"/>
        <v>0</v>
      </c>
      <c r="O32" s="92"/>
      <c r="P32" s="141" t="str">
        <f t="shared" si="6"/>
        <v/>
      </c>
      <c r="Q32" s="122"/>
      <c r="R32" s="152">
        <f t="shared" si="1"/>
        <v>0</v>
      </c>
      <c r="S32" s="65">
        <f t="shared" si="7"/>
        <v>0</v>
      </c>
      <c r="T32" s="64">
        <f t="shared" si="8"/>
        <v>0</v>
      </c>
      <c r="U32" s="144">
        <f t="shared" si="9"/>
        <v>0</v>
      </c>
      <c r="V32" s="92"/>
      <c r="W32" s="141" t="str">
        <f t="shared" si="10"/>
        <v/>
      </c>
      <c r="X32" s="126"/>
    </row>
    <row r="33" spans="1:24" s="22" customFormat="1" ht="24" customHeight="1" x14ac:dyDescent="0.2">
      <c r="A33" s="312">
        <v>31</v>
      </c>
      <c r="B33" s="306"/>
      <c r="C33" s="306"/>
      <c r="D33" s="316"/>
      <c r="E33" s="317"/>
      <c r="F33" s="318"/>
      <c r="G33" s="319"/>
      <c r="H33" s="320">
        <f t="shared" si="2"/>
        <v>0</v>
      </c>
      <c r="I33" s="321"/>
      <c r="J33" s="309"/>
      <c r="K33" s="151">
        <f t="shared" si="3"/>
        <v>0</v>
      </c>
      <c r="L33" s="65">
        <f t="shared" si="0"/>
        <v>0</v>
      </c>
      <c r="M33" s="179">
        <f t="shared" si="4"/>
        <v>0</v>
      </c>
      <c r="N33" s="142">
        <f t="shared" si="5"/>
        <v>0</v>
      </c>
      <c r="O33" s="92"/>
      <c r="P33" s="141" t="str">
        <f t="shared" si="6"/>
        <v/>
      </c>
      <c r="Q33" s="122"/>
      <c r="R33" s="152">
        <f t="shared" si="1"/>
        <v>0</v>
      </c>
      <c r="S33" s="65">
        <f t="shared" si="7"/>
        <v>0</v>
      </c>
      <c r="T33" s="64">
        <f t="shared" si="8"/>
        <v>0</v>
      </c>
      <c r="U33" s="144">
        <f t="shared" si="9"/>
        <v>0</v>
      </c>
      <c r="V33" s="92"/>
      <c r="W33" s="141" t="str">
        <f t="shared" si="10"/>
        <v/>
      </c>
      <c r="X33" s="126"/>
    </row>
    <row r="34" spans="1:24" s="22" customFormat="1" ht="24" customHeight="1" x14ac:dyDescent="0.2">
      <c r="A34" s="312">
        <v>32</v>
      </c>
      <c r="B34" s="306"/>
      <c r="C34" s="306"/>
      <c r="D34" s="316"/>
      <c r="E34" s="317"/>
      <c r="F34" s="318"/>
      <c r="G34" s="319"/>
      <c r="H34" s="320">
        <f t="shared" si="2"/>
        <v>0</v>
      </c>
      <c r="I34" s="321"/>
      <c r="J34" s="309"/>
      <c r="K34" s="151">
        <f t="shared" si="3"/>
        <v>0</v>
      </c>
      <c r="L34" s="65">
        <f t="shared" si="0"/>
        <v>0</v>
      </c>
      <c r="M34" s="179">
        <f t="shared" si="4"/>
        <v>0</v>
      </c>
      <c r="N34" s="142">
        <f t="shared" si="5"/>
        <v>0</v>
      </c>
      <c r="O34" s="92"/>
      <c r="P34" s="141" t="str">
        <f t="shared" si="6"/>
        <v/>
      </c>
      <c r="Q34" s="122"/>
      <c r="R34" s="152">
        <f t="shared" si="1"/>
        <v>0</v>
      </c>
      <c r="S34" s="65">
        <f t="shared" si="7"/>
        <v>0</v>
      </c>
      <c r="T34" s="64">
        <f t="shared" si="8"/>
        <v>0</v>
      </c>
      <c r="U34" s="144">
        <f t="shared" si="9"/>
        <v>0</v>
      </c>
      <c r="V34" s="92"/>
      <c r="W34" s="141" t="str">
        <f t="shared" si="10"/>
        <v/>
      </c>
      <c r="X34" s="126"/>
    </row>
    <row r="35" spans="1:24" s="22" customFormat="1" ht="24" customHeight="1" x14ac:dyDescent="0.2">
      <c r="A35" s="312">
        <v>33</v>
      </c>
      <c r="B35" s="306"/>
      <c r="C35" s="306"/>
      <c r="D35" s="316"/>
      <c r="E35" s="317"/>
      <c r="F35" s="318"/>
      <c r="G35" s="319"/>
      <c r="H35" s="320">
        <f t="shared" si="2"/>
        <v>0</v>
      </c>
      <c r="I35" s="321"/>
      <c r="J35" s="309"/>
      <c r="K35" s="151">
        <f t="shared" si="3"/>
        <v>0</v>
      </c>
      <c r="L35" s="65">
        <f t="shared" si="0"/>
        <v>0</v>
      </c>
      <c r="M35" s="179">
        <f t="shared" si="4"/>
        <v>0</v>
      </c>
      <c r="N35" s="142">
        <f t="shared" si="5"/>
        <v>0</v>
      </c>
      <c r="O35" s="92"/>
      <c r="P35" s="141" t="str">
        <f t="shared" si="6"/>
        <v/>
      </c>
      <c r="Q35" s="122"/>
      <c r="R35" s="152">
        <f t="shared" si="1"/>
        <v>0</v>
      </c>
      <c r="S35" s="65">
        <f t="shared" si="7"/>
        <v>0</v>
      </c>
      <c r="T35" s="64">
        <f t="shared" si="8"/>
        <v>0</v>
      </c>
      <c r="U35" s="144">
        <f t="shared" si="9"/>
        <v>0</v>
      </c>
      <c r="V35" s="92"/>
      <c r="W35" s="141" t="str">
        <f t="shared" si="10"/>
        <v/>
      </c>
      <c r="X35" s="126"/>
    </row>
    <row r="36" spans="1:24" s="22" customFormat="1" ht="24" customHeight="1" x14ac:dyDescent="0.2">
      <c r="A36" s="312">
        <v>34</v>
      </c>
      <c r="B36" s="306"/>
      <c r="C36" s="306"/>
      <c r="D36" s="316"/>
      <c r="E36" s="317"/>
      <c r="F36" s="318"/>
      <c r="G36" s="319"/>
      <c r="H36" s="320">
        <f t="shared" si="2"/>
        <v>0</v>
      </c>
      <c r="I36" s="321"/>
      <c r="J36" s="309"/>
      <c r="K36" s="151">
        <f t="shared" si="3"/>
        <v>0</v>
      </c>
      <c r="L36" s="65">
        <f t="shared" si="0"/>
        <v>0</v>
      </c>
      <c r="M36" s="179">
        <f t="shared" si="4"/>
        <v>0</v>
      </c>
      <c r="N36" s="142">
        <f t="shared" si="5"/>
        <v>0</v>
      </c>
      <c r="O36" s="92"/>
      <c r="P36" s="141" t="str">
        <f t="shared" si="6"/>
        <v/>
      </c>
      <c r="Q36" s="122"/>
      <c r="R36" s="152">
        <f t="shared" si="1"/>
        <v>0</v>
      </c>
      <c r="S36" s="65">
        <f t="shared" si="7"/>
        <v>0</v>
      </c>
      <c r="T36" s="64">
        <f t="shared" si="8"/>
        <v>0</v>
      </c>
      <c r="U36" s="144">
        <f t="shared" si="9"/>
        <v>0</v>
      </c>
      <c r="V36" s="92"/>
      <c r="W36" s="141" t="str">
        <f t="shared" si="10"/>
        <v/>
      </c>
      <c r="X36" s="126"/>
    </row>
    <row r="37" spans="1:24" s="22" customFormat="1" ht="24" customHeight="1" x14ac:dyDescent="0.2">
      <c r="A37" s="312">
        <v>35</v>
      </c>
      <c r="B37" s="306"/>
      <c r="C37" s="306"/>
      <c r="D37" s="316"/>
      <c r="E37" s="317"/>
      <c r="F37" s="318"/>
      <c r="G37" s="319"/>
      <c r="H37" s="320">
        <f t="shared" si="2"/>
        <v>0</v>
      </c>
      <c r="I37" s="321"/>
      <c r="J37" s="309"/>
      <c r="K37" s="151">
        <f t="shared" si="3"/>
        <v>0</v>
      </c>
      <c r="L37" s="65">
        <f t="shared" si="0"/>
        <v>0</v>
      </c>
      <c r="M37" s="179">
        <f t="shared" si="4"/>
        <v>0</v>
      </c>
      <c r="N37" s="142">
        <f t="shared" si="5"/>
        <v>0</v>
      </c>
      <c r="O37" s="92"/>
      <c r="P37" s="141" t="str">
        <f t="shared" si="6"/>
        <v/>
      </c>
      <c r="Q37" s="122"/>
      <c r="R37" s="152">
        <f t="shared" si="1"/>
        <v>0</v>
      </c>
      <c r="S37" s="65">
        <f t="shared" si="7"/>
        <v>0</v>
      </c>
      <c r="T37" s="64">
        <f t="shared" si="8"/>
        <v>0</v>
      </c>
      <c r="U37" s="144">
        <f t="shared" si="9"/>
        <v>0</v>
      </c>
      <c r="V37" s="92"/>
      <c r="W37" s="141" t="str">
        <f t="shared" si="10"/>
        <v/>
      </c>
      <c r="X37" s="126"/>
    </row>
    <row r="38" spans="1:24" s="22" customFormat="1" ht="24" customHeight="1" x14ac:dyDescent="0.2">
      <c r="A38" s="312">
        <v>36</v>
      </c>
      <c r="B38" s="306"/>
      <c r="C38" s="306"/>
      <c r="D38" s="316"/>
      <c r="E38" s="317"/>
      <c r="F38" s="318"/>
      <c r="G38" s="319"/>
      <c r="H38" s="320">
        <f t="shared" si="2"/>
        <v>0</v>
      </c>
      <c r="I38" s="321"/>
      <c r="J38" s="309"/>
      <c r="K38" s="151">
        <f t="shared" si="3"/>
        <v>0</v>
      </c>
      <c r="L38" s="65">
        <f t="shared" si="0"/>
        <v>0</v>
      </c>
      <c r="M38" s="179">
        <f t="shared" si="4"/>
        <v>0</v>
      </c>
      <c r="N38" s="142">
        <f t="shared" si="5"/>
        <v>0</v>
      </c>
      <c r="O38" s="92"/>
      <c r="P38" s="141" t="str">
        <f t="shared" si="6"/>
        <v/>
      </c>
      <c r="Q38" s="122"/>
      <c r="R38" s="152">
        <f t="shared" si="1"/>
        <v>0</v>
      </c>
      <c r="S38" s="65">
        <f t="shared" si="7"/>
        <v>0</v>
      </c>
      <c r="T38" s="64">
        <f t="shared" si="8"/>
        <v>0</v>
      </c>
      <c r="U38" s="144">
        <f t="shared" si="9"/>
        <v>0</v>
      </c>
      <c r="V38" s="92"/>
      <c r="W38" s="141" t="str">
        <f t="shared" si="10"/>
        <v/>
      </c>
      <c r="X38" s="126"/>
    </row>
    <row r="39" spans="1:24" s="22" customFormat="1" ht="24" customHeight="1" x14ac:dyDescent="0.2">
      <c r="A39" s="312">
        <v>37</v>
      </c>
      <c r="B39" s="306"/>
      <c r="C39" s="306"/>
      <c r="D39" s="316"/>
      <c r="E39" s="317"/>
      <c r="F39" s="318"/>
      <c r="G39" s="319"/>
      <c r="H39" s="320">
        <f t="shared" si="2"/>
        <v>0</v>
      </c>
      <c r="I39" s="321"/>
      <c r="J39" s="309"/>
      <c r="K39" s="151">
        <f t="shared" si="3"/>
        <v>0</v>
      </c>
      <c r="L39" s="65">
        <f t="shared" si="0"/>
        <v>0</v>
      </c>
      <c r="M39" s="179">
        <f t="shared" si="4"/>
        <v>0</v>
      </c>
      <c r="N39" s="142">
        <f t="shared" si="5"/>
        <v>0</v>
      </c>
      <c r="O39" s="92"/>
      <c r="P39" s="141" t="str">
        <f t="shared" si="6"/>
        <v/>
      </c>
      <c r="Q39" s="122"/>
      <c r="R39" s="152">
        <f t="shared" si="1"/>
        <v>0</v>
      </c>
      <c r="S39" s="65">
        <f t="shared" si="7"/>
        <v>0</v>
      </c>
      <c r="T39" s="64">
        <f t="shared" si="8"/>
        <v>0</v>
      </c>
      <c r="U39" s="144">
        <f t="shared" si="9"/>
        <v>0</v>
      </c>
      <c r="V39" s="92"/>
      <c r="W39" s="141" t="str">
        <f t="shared" si="10"/>
        <v/>
      </c>
      <c r="X39" s="126"/>
    </row>
    <row r="40" spans="1:24" s="22" customFormat="1" ht="24" customHeight="1" x14ac:dyDescent="0.2">
      <c r="A40" s="312">
        <v>38</v>
      </c>
      <c r="B40" s="306"/>
      <c r="C40" s="306"/>
      <c r="D40" s="316"/>
      <c r="E40" s="317"/>
      <c r="F40" s="318"/>
      <c r="G40" s="319"/>
      <c r="H40" s="320">
        <f t="shared" si="2"/>
        <v>0</v>
      </c>
      <c r="I40" s="321"/>
      <c r="J40" s="309"/>
      <c r="K40" s="151">
        <f t="shared" si="3"/>
        <v>0</v>
      </c>
      <c r="L40" s="65">
        <f t="shared" si="0"/>
        <v>0</v>
      </c>
      <c r="M40" s="179">
        <f t="shared" si="4"/>
        <v>0</v>
      </c>
      <c r="N40" s="142">
        <f t="shared" si="5"/>
        <v>0</v>
      </c>
      <c r="O40" s="92"/>
      <c r="P40" s="141" t="str">
        <f t="shared" si="6"/>
        <v/>
      </c>
      <c r="Q40" s="122"/>
      <c r="R40" s="152">
        <f t="shared" si="1"/>
        <v>0</v>
      </c>
      <c r="S40" s="65">
        <f t="shared" si="7"/>
        <v>0</v>
      </c>
      <c r="T40" s="64">
        <f t="shared" si="8"/>
        <v>0</v>
      </c>
      <c r="U40" s="144">
        <f t="shared" si="9"/>
        <v>0</v>
      </c>
      <c r="V40" s="92"/>
      <c r="W40" s="141" t="str">
        <f t="shared" si="10"/>
        <v/>
      </c>
      <c r="X40" s="126"/>
    </row>
    <row r="41" spans="1:24" s="22" customFormat="1" ht="24" customHeight="1" x14ac:dyDescent="0.2">
      <c r="A41" s="312">
        <v>39</v>
      </c>
      <c r="B41" s="306"/>
      <c r="C41" s="306"/>
      <c r="D41" s="316"/>
      <c r="E41" s="317"/>
      <c r="F41" s="318"/>
      <c r="G41" s="319"/>
      <c r="H41" s="320">
        <f t="shared" si="2"/>
        <v>0</v>
      </c>
      <c r="I41" s="321"/>
      <c r="J41" s="309"/>
      <c r="K41" s="151">
        <f t="shared" si="3"/>
        <v>0</v>
      </c>
      <c r="L41" s="65">
        <f t="shared" si="0"/>
        <v>0</v>
      </c>
      <c r="M41" s="179">
        <f t="shared" si="4"/>
        <v>0</v>
      </c>
      <c r="N41" s="142">
        <f t="shared" si="5"/>
        <v>0</v>
      </c>
      <c r="O41" s="92"/>
      <c r="P41" s="141" t="str">
        <f t="shared" si="6"/>
        <v/>
      </c>
      <c r="Q41" s="122"/>
      <c r="R41" s="152">
        <f t="shared" si="1"/>
        <v>0</v>
      </c>
      <c r="S41" s="65">
        <f t="shared" si="7"/>
        <v>0</v>
      </c>
      <c r="T41" s="64">
        <f t="shared" si="8"/>
        <v>0</v>
      </c>
      <c r="U41" s="144">
        <f t="shared" si="9"/>
        <v>0</v>
      </c>
      <c r="V41" s="92"/>
      <c r="W41" s="141" t="str">
        <f t="shared" si="10"/>
        <v/>
      </c>
      <c r="X41" s="126"/>
    </row>
    <row r="42" spans="1:24" s="22" customFormat="1" ht="24" customHeight="1" x14ac:dyDescent="0.2">
      <c r="A42" s="312">
        <v>40</v>
      </c>
      <c r="B42" s="306"/>
      <c r="C42" s="306"/>
      <c r="D42" s="316"/>
      <c r="E42" s="317"/>
      <c r="F42" s="318"/>
      <c r="G42" s="319"/>
      <c r="H42" s="320">
        <f t="shared" si="2"/>
        <v>0</v>
      </c>
      <c r="I42" s="321"/>
      <c r="J42" s="309"/>
      <c r="K42" s="151">
        <f t="shared" si="3"/>
        <v>0</v>
      </c>
      <c r="L42" s="65">
        <f t="shared" si="0"/>
        <v>0</v>
      </c>
      <c r="M42" s="179">
        <f t="shared" si="4"/>
        <v>0</v>
      </c>
      <c r="N42" s="142">
        <f t="shared" si="5"/>
        <v>0</v>
      </c>
      <c r="O42" s="92"/>
      <c r="P42" s="141" t="str">
        <f t="shared" si="6"/>
        <v/>
      </c>
      <c r="Q42" s="122"/>
      <c r="R42" s="152">
        <f t="shared" si="1"/>
        <v>0</v>
      </c>
      <c r="S42" s="65">
        <f t="shared" si="7"/>
        <v>0</v>
      </c>
      <c r="T42" s="64">
        <f t="shared" si="8"/>
        <v>0</v>
      </c>
      <c r="U42" s="144">
        <f t="shared" si="9"/>
        <v>0</v>
      </c>
      <c r="V42" s="92"/>
      <c r="W42" s="141" t="str">
        <f t="shared" si="10"/>
        <v/>
      </c>
      <c r="X42" s="126"/>
    </row>
    <row r="43" spans="1:24" s="22" customFormat="1" ht="24" customHeight="1" x14ac:dyDescent="0.2">
      <c r="A43" s="312">
        <v>41</v>
      </c>
      <c r="B43" s="306"/>
      <c r="C43" s="306"/>
      <c r="D43" s="316"/>
      <c r="E43" s="317"/>
      <c r="F43" s="318"/>
      <c r="G43" s="319"/>
      <c r="H43" s="320">
        <f t="shared" si="2"/>
        <v>0</v>
      </c>
      <c r="I43" s="321"/>
      <c r="J43" s="309"/>
      <c r="K43" s="151">
        <f t="shared" si="3"/>
        <v>0</v>
      </c>
      <c r="L43" s="65">
        <f t="shared" si="0"/>
        <v>0</v>
      </c>
      <c r="M43" s="179">
        <f t="shared" si="4"/>
        <v>0</v>
      </c>
      <c r="N43" s="142">
        <f t="shared" si="5"/>
        <v>0</v>
      </c>
      <c r="O43" s="92"/>
      <c r="P43" s="141" t="str">
        <f t="shared" si="6"/>
        <v/>
      </c>
      <c r="Q43" s="122"/>
      <c r="R43" s="152">
        <f t="shared" si="1"/>
        <v>0</v>
      </c>
      <c r="S43" s="65">
        <f t="shared" si="7"/>
        <v>0</v>
      </c>
      <c r="T43" s="64">
        <f t="shared" si="8"/>
        <v>0</v>
      </c>
      <c r="U43" s="144">
        <f t="shared" si="9"/>
        <v>0</v>
      </c>
      <c r="V43" s="92"/>
      <c r="W43" s="141" t="str">
        <f t="shared" si="10"/>
        <v/>
      </c>
      <c r="X43" s="126"/>
    </row>
    <row r="44" spans="1:24" s="22" customFormat="1" ht="24" customHeight="1" x14ac:dyDescent="0.2">
      <c r="A44" s="312">
        <v>42</v>
      </c>
      <c r="B44" s="306"/>
      <c r="C44" s="306"/>
      <c r="D44" s="316"/>
      <c r="E44" s="317"/>
      <c r="F44" s="318"/>
      <c r="G44" s="319"/>
      <c r="H44" s="320">
        <f t="shared" si="2"/>
        <v>0</v>
      </c>
      <c r="I44" s="321"/>
      <c r="J44" s="309"/>
      <c r="K44" s="151">
        <f t="shared" si="3"/>
        <v>0</v>
      </c>
      <c r="L44" s="65">
        <f t="shared" si="0"/>
        <v>0</v>
      </c>
      <c r="M44" s="179">
        <f t="shared" si="4"/>
        <v>0</v>
      </c>
      <c r="N44" s="142">
        <f t="shared" si="5"/>
        <v>0</v>
      </c>
      <c r="O44" s="92"/>
      <c r="P44" s="141" t="str">
        <f t="shared" si="6"/>
        <v/>
      </c>
      <c r="Q44" s="122"/>
      <c r="R44" s="152">
        <f t="shared" si="1"/>
        <v>0</v>
      </c>
      <c r="S44" s="65">
        <f t="shared" si="7"/>
        <v>0</v>
      </c>
      <c r="T44" s="64">
        <f t="shared" si="8"/>
        <v>0</v>
      </c>
      <c r="U44" s="144">
        <f t="shared" si="9"/>
        <v>0</v>
      </c>
      <c r="V44" s="92"/>
      <c r="W44" s="141" t="str">
        <f t="shared" si="10"/>
        <v/>
      </c>
      <c r="X44" s="126"/>
    </row>
    <row r="45" spans="1:24" s="22" customFormat="1" ht="24" customHeight="1" x14ac:dyDescent="0.2">
      <c r="A45" s="312">
        <v>43</v>
      </c>
      <c r="B45" s="306"/>
      <c r="C45" s="306"/>
      <c r="D45" s="316"/>
      <c r="E45" s="317"/>
      <c r="F45" s="318"/>
      <c r="G45" s="319"/>
      <c r="H45" s="320">
        <f t="shared" si="2"/>
        <v>0</v>
      </c>
      <c r="I45" s="321"/>
      <c r="J45" s="309"/>
      <c r="K45" s="151">
        <f t="shared" si="3"/>
        <v>0</v>
      </c>
      <c r="L45" s="65">
        <f t="shared" si="0"/>
        <v>0</v>
      </c>
      <c r="M45" s="179">
        <f t="shared" si="4"/>
        <v>0</v>
      </c>
      <c r="N45" s="142">
        <f t="shared" si="5"/>
        <v>0</v>
      </c>
      <c r="O45" s="92"/>
      <c r="P45" s="141" t="str">
        <f t="shared" si="6"/>
        <v/>
      </c>
      <c r="Q45" s="122"/>
      <c r="R45" s="152">
        <f t="shared" si="1"/>
        <v>0</v>
      </c>
      <c r="S45" s="65">
        <f t="shared" si="7"/>
        <v>0</v>
      </c>
      <c r="T45" s="64">
        <f t="shared" si="8"/>
        <v>0</v>
      </c>
      <c r="U45" s="144">
        <f t="shared" si="9"/>
        <v>0</v>
      </c>
      <c r="V45" s="92"/>
      <c r="W45" s="141" t="str">
        <f t="shared" si="10"/>
        <v/>
      </c>
      <c r="X45" s="126"/>
    </row>
    <row r="46" spans="1:24" s="22" customFormat="1" ht="24" customHeight="1" x14ac:dyDescent="0.2">
      <c r="A46" s="312">
        <v>44</v>
      </c>
      <c r="B46" s="306"/>
      <c r="C46" s="306"/>
      <c r="D46" s="316"/>
      <c r="E46" s="317"/>
      <c r="F46" s="318"/>
      <c r="G46" s="319"/>
      <c r="H46" s="320">
        <f t="shared" si="2"/>
        <v>0</v>
      </c>
      <c r="I46" s="321"/>
      <c r="J46" s="309"/>
      <c r="K46" s="151">
        <f t="shared" si="3"/>
        <v>0</v>
      </c>
      <c r="L46" s="65">
        <f t="shared" si="0"/>
        <v>0</v>
      </c>
      <c r="M46" s="179">
        <f t="shared" si="4"/>
        <v>0</v>
      </c>
      <c r="N46" s="142">
        <f t="shared" si="5"/>
        <v>0</v>
      </c>
      <c r="O46" s="92"/>
      <c r="P46" s="141" t="str">
        <f t="shared" si="6"/>
        <v/>
      </c>
      <c r="Q46" s="122"/>
      <c r="R46" s="152">
        <f t="shared" si="1"/>
        <v>0</v>
      </c>
      <c r="S46" s="65">
        <f t="shared" si="7"/>
        <v>0</v>
      </c>
      <c r="T46" s="64">
        <f t="shared" si="8"/>
        <v>0</v>
      </c>
      <c r="U46" s="144">
        <f t="shared" si="9"/>
        <v>0</v>
      </c>
      <c r="V46" s="92"/>
      <c r="W46" s="141" t="str">
        <f t="shared" si="10"/>
        <v/>
      </c>
      <c r="X46" s="126"/>
    </row>
    <row r="47" spans="1:24" s="22" customFormat="1" ht="24" customHeight="1" x14ac:dyDescent="0.2">
      <c r="A47" s="312">
        <v>45</v>
      </c>
      <c r="B47" s="306"/>
      <c r="C47" s="306"/>
      <c r="D47" s="316"/>
      <c r="E47" s="317"/>
      <c r="F47" s="318"/>
      <c r="G47" s="319"/>
      <c r="H47" s="320">
        <f t="shared" si="2"/>
        <v>0</v>
      </c>
      <c r="I47" s="321"/>
      <c r="J47" s="309"/>
      <c r="K47" s="151">
        <f t="shared" si="3"/>
        <v>0</v>
      </c>
      <c r="L47" s="65">
        <f t="shared" si="0"/>
        <v>0</v>
      </c>
      <c r="M47" s="179">
        <f t="shared" si="4"/>
        <v>0</v>
      </c>
      <c r="N47" s="142">
        <f t="shared" si="5"/>
        <v>0</v>
      </c>
      <c r="O47" s="92"/>
      <c r="P47" s="141" t="str">
        <f t="shared" si="6"/>
        <v/>
      </c>
      <c r="Q47" s="122"/>
      <c r="R47" s="152">
        <f t="shared" si="1"/>
        <v>0</v>
      </c>
      <c r="S47" s="65">
        <f t="shared" si="7"/>
        <v>0</v>
      </c>
      <c r="T47" s="64">
        <f t="shared" si="8"/>
        <v>0</v>
      </c>
      <c r="U47" s="144">
        <f t="shared" si="9"/>
        <v>0</v>
      </c>
      <c r="V47" s="92"/>
      <c r="W47" s="141" t="str">
        <f t="shared" si="10"/>
        <v/>
      </c>
      <c r="X47" s="126"/>
    </row>
    <row r="48" spans="1:24" s="22" customFormat="1" ht="24" customHeight="1" x14ac:dyDescent="0.2">
      <c r="A48" s="312">
        <v>46</v>
      </c>
      <c r="B48" s="306"/>
      <c r="C48" s="306"/>
      <c r="D48" s="316"/>
      <c r="E48" s="317"/>
      <c r="F48" s="318"/>
      <c r="G48" s="319"/>
      <c r="H48" s="320">
        <f t="shared" si="2"/>
        <v>0</v>
      </c>
      <c r="I48" s="321"/>
      <c r="J48" s="309"/>
      <c r="K48" s="151">
        <f t="shared" si="3"/>
        <v>0</v>
      </c>
      <c r="L48" s="65">
        <f t="shared" si="0"/>
        <v>0</v>
      </c>
      <c r="M48" s="179">
        <f t="shared" si="4"/>
        <v>0</v>
      </c>
      <c r="N48" s="142">
        <f t="shared" si="5"/>
        <v>0</v>
      </c>
      <c r="O48" s="92"/>
      <c r="P48" s="141" t="str">
        <f t="shared" si="6"/>
        <v/>
      </c>
      <c r="Q48" s="122"/>
      <c r="R48" s="152">
        <f t="shared" si="1"/>
        <v>0</v>
      </c>
      <c r="S48" s="65">
        <f t="shared" si="7"/>
        <v>0</v>
      </c>
      <c r="T48" s="64">
        <f t="shared" si="8"/>
        <v>0</v>
      </c>
      <c r="U48" s="144">
        <f t="shared" si="9"/>
        <v>0</v>
      </c>
      <c r="V48" s="92"/>
      <c r="W48" s="141" t="str">
        <f t="shared" si="10"/>
        <v/>
      </c>
      <c r="X48" s="126"/>
    </row>
    <row r="49" spans="1:24" s="22" customFormat="1" ht="24" customHeight="1" x14ac:dyDescent="0.2">
      <c r="A49" s="312">
        <v>47</v>
      </c>
      <c r="B49" s="306"/>
      <c r="C49" s="306"/>
      <c r="D49" s="316"/>
      <c r="E49" s="317"/>
      <c r="F49" s="318"/>
      <c r="G49" s="319"/>
      <c r="H49" s="320">
        <f t="shared" si="2"/>
        <v>0</v>
      </c>
      <c r="I49" s="321"/>
      <c r="J49" s="309"/>
      <c r="K49" s="151">
        <f t="shared" si="3"/>
        <v>0</v>
      </c>
      <c r="L49" s="65">
        <f t="shared" si="0"/>
        <v>0</v>
      </c>
      <c r="M49" s="179">
        <f t="shared" si="4"/>
        <v>0</v>
      </c>
      <c r="N49" s="142">
        <f t="shared" si="5"/>
        <v>0</v>
      </c>
      <c r="O49" s="92"/>
      <c r="P49" s="141" t="str">
        <f t="shared" si="6"/>
        <v/>
      </c>
      <c r="Q49" s="122"/>
      <c r="R49" s="152">
        <f t="shared" si="1"/>
        <v>0</v>
      </c>
      <c r="S49" s="65">
        <f t="shared" si="7"/>
        <v>0</v>
      </c>
      <c r="T49" s="64">
        <f t="shared" si="8"/>
        <v>0</v>
      </c>
      <c r="U49" s="144">
        <f t="shared" si="9"/>
        <v>0</v>
      </c>
      <c r="V49" s="92"/>
      <c r="W49" s="141" t="str">
        <f t="shared" si="10"/>
        <v/>
      </c>
      <c r="X49" s="126"/>
    </row>
    <row r="50" spans="1:24" s="22" customFormat="1" ht="24" customHeight="1" x14ac:dyDescent="0.2">
      <c r="A50" s="312">
        <v>48</v>
      </c>
      <c r="B50" s="306"/>
      <c r="C50" s="306"/>
      <c r="D50" s="316"/>
      <c r="E50" s="317"/>
      <c r="F50" s="318"/>
      <c r="G50" s="319"/>
      <c r="H50" s="320">
        <f t="shared" si="2"/>
        <v>0</v>
      </c>
      <c r="I50" s="321"/>
      <c r="J50" s="309"/>
      <c r="K50" s="151">
        <f t="shared" si="3"/>
        <v>0</v>
      </c>
      <c r="L50" s="65">
        <f t="shared" si="0"/>
        <v>0</v>
      </c>
      <c r="M50" s="179">
        <f t="shared" si="4"/>
        <v>0</v>
      </c>
      <c r="N50" s="142">
        <f t="shared" si="5"/>
        <v>0</v>
      </c>
      <c r="O50" s="92"/>
      <c r="P50" s="141" t="str">
        <f t="shared" si="6"/>
        <v/>
      </c>
      <c r="Q50" s="122"/>
      <c r="R50" s="152">
        <f t="shared" si="1"/>
        <v>0</v>
      </c>
      <c r="S50" s="65">
        <f t="shared" si="7"/>
        <v>0</v>
      </c>
      <c r="T50" s="64">
        <f t="shared" si="8"/>
        <v>0</v>
      </c>
      <c r="U50" s="144">
        <f t="shared" si="9"/>
        <v>0</v>
      </c>
      <c r="V50" s="92"/>
      <c r="W50" s="141" t="str">
        <f t="shared" si="10"/>
        <v/>
      </c>
      <c r="X50" s="126"/>
    </row>
    <row r="51" spans="1:24" s="22" customFormat="1" ht="24" customHeight="1" x14ac:dyDescent="0.2">
      <c r="A51" s="312">
        <v>49</v>
      </c>
      <c r="B51" s="306"/>
      <c r="C51" s="306"/>
      <c r="D51" s="316"/>
      <c r="E51" s="317"/>
      <c r="F51" s="318"/>
      <c r="G51" s="319"/>
      <c r="H51" s="320">
        <f t="shared" si="2"/>
        <v>0</v>
      </c>
      <c r="I51" s="321"/>
      <c r="J51" s="309"/>
      <c r="K51" s="151">
        <f t="shared" si="3"/>
        <v>0</v>
      </c>
      <c r="L51" s="65">
        <f t="shared" si="0"/>
        <v>0</v>
      </c>
      <c r="M51" s="179">
        <f t="shared" si="4"/>
        <v>0</v>
      </c>
      <c r="N51" s="142">
        <f t="shared" si="5"/>
        <v>0</v>
      </c>
      <c r="O51" s="92"/>
      <c r="P51" s="141" t="str">
        <f t="shared" si="6"/>
        <v/>
      </c>
      <c r="Q51" s="122"/>
      <c r="R51" s="152">
        <f t="shared" si="1"/>
        <v>0</v>
      </c>
      <c r="S51" s="65">
        <f t="shared" si="7"/>
        <v>0</v>
      </c>
      <c r="T51" s="64">
        <f t="shared" si="8"/>
        <v>0</v>
      </c>
      <c r="U51" s="144">
        <f t="shared" si="9"/>
        <v>0</v>
      </c>
      <c r="V51" s="92"/>
      <c r="W51" s="141" t="str">
        <f t="shared" si="10"/>
        <v/>
      </c>
      <c r="X51" s="126"/>
    </row>
    <row r="52" spans="1:24" s="22" customFormat="1" ht="24" customHeight="1" x14ac:dyDescent="0.2">
      <c r="A52" s="312">
        <v>50</v>
      </c>
      <c r="B52" s="306"/>
      <c r="C52" s="306"/>
      <c r="D52" s="316"/>
      <c r="E52" s="317"/>
      <c r="F52" s="318"/>
      <c r="G52" s="319"/>
      <c r="H52" s="320">
        <f t="shared" si="2"/>
        <v>0</v>
      </c>
      <c r="I52" s="321"/>
      <c r="J52" s="309"/>
      <c r="K52" s="151">
        <f t="shared" si="3"/>
        <v>0</v>
      </c>
      <c r="L52" s="65">
        <f t="shared" si="0"/>
        <v>0</v>
      </c>
      <c r="M52" s="179">
        <f t="shared" si="4"/>
        <v>0</v>
      </c>
      <c r="N52" s="142">
        <f t="shared" si="5"/>
        <v>0</v>
      </c>
      <c r="O52" s="92"/>
      <c r="P52" s="141" t="str">
        <f t="shared" si="6"/>
        <v/>
      </c>
      <c r="Q52" s="122"/>
      <c r="R52" s="152">
        <f t="shared" si="1"/>
        <v>0</v>
      </c>
      <c r="S52" s="65">
        <f t="shared" si="7"/>
        <v>0</v>
      </c>
      <c r="T52" s="64">
        <f t="shared" si="8"/>
        <v>0</v>
      </c>
      <c r="U52" s="144">
        <f t="shared" si="9"/>
        <v>0</v>
      </c>
      <c r="V52" s="92"/>
      <c r="W52" s="141" t="str">
        <f t="shared" si="10"/>
        <v/>
      </c>
      <c r="X52" s="126"/>
    </row>
    <row r="53" spans="1:24" s="22" customFormat="1" ht="24" customHeight="1" thickBot="1" x14ac:dyDescent="0.25">
      <c r="A53" s="472"/>
      <c r="B53" s="473" t="s">
        <v>4</v>
      </c>
      <c r="C53" s="473"/>
      <c r="D53" s="473"/>
      <c r="E53" s="474"/>
      <c r="F53" s="474"/>
      <c r="G53" s="484"/>
      <c r="H53" s="485">
        <f>SUM(H3:H52)</f>
        <v>0</v>
      </c>
      <c r="I53" s="486">
        <f>SUM(I3:I52)</f>
        <v>0</v>
      </c>
      <c r="J53" s="474">
        <f>SUM(J3:J52)</f>
        <v>0</v>
      </c>
      <c r="K53" s="158"/>
      <c r="L53" s="153"/>
      <c r="M53" s="153"/>
      <c r="N53" s="153">
        <f>SUM(N3:N52)</f>
        <v>0</v>
      </c>
      <c r="O53" s="108"/>
      <c r="P53" s="109"/>
      <c r="Q53" s="123"/>
      <c r="R53" s="113"/>
      <c r="S53" s="155"/>
      <c r="T53" s="155"/>
      <c r="U53" s="155">
        <f>SUM(U3:U52)</f>
        <v>0</v>
      </c>
      <c r="V53" s="114"/>
      <c r="W53" s="115"/>
      <c r="X53" s="127"/>
    </row>
    <row r="54" spans="1:24" x14ac:dyDescent="0.2">
      <c r="B54" s="305" t="str">
        <f>IF(A65="כן","תוכנית בתחומי הביוטכנולוגיה וננוטכנולוגיה","")</f>
        <v/>
      </c>
      <c r="O54" s="27"/>
      <c r="P54" s="27"/>
      <c r="Q54" s="39"/>
      <c r="V54" s="27"/>
      <c r="W54" s="27"/>
    </row>
    <row r="55" spans="1:24" x14ac:dyDescent="0.2">
      <c r="O55" s="88"/>
      <c r="P55" s="88"/>
      <c r="Q55" s="39"/>
      <c r="V55" s="88"/>
      <c r="W55" s="88"/>
    </row>
    <row r="56" spans="1:24" x14ac:dyDescent="0.2">
      <c r="O56" s="27"/>
      <c r="P56" s="88"/>
      <c r="Q56" s="39"/>
      <c r="V56" s="27"/>
      <c r="W56" s="88"/>
    </row>
    <row r="57" spans="1:24" x14ac:dyDescent="0.2">
      <c r="O57" s="27"/>
      <c r="P57" s="27"/>
      <c r="Q57" s="39"/>
      <c r="V57" s="27"/>
      <c r="W57" s="27"/>
    </row>
    <row r="58" spans="1:24" x14ac:dyDescent="0.2">
      <c r="A58" s="622" t="s">
        <v>101</v>
      </c>
      <c r="B58" s="622"/>
      <c r="O58" s="597" t="s">
        <v>99</v>
      </c>
      <c r="P58" s="597"/>
      <c r="Q58" s="39"/>
      <c r="V58" s="597" t="s">
        <v>99</v>
      </c>
      <c r="W58" s="597"/>
    </row>
    <row r="59" spans="1:24" ht="25.5" x14ac:dyDescent="0.2">
      <c r="A59" s="143" t="s">
        <v>56</v>
      </c>
      <c r="B59" s="57" t="s">
        <v>13</v>
      </c>
      <c r="O59" s="56" t="s">
        <v>68</v>
      </c>
      <c r="P59" s="57" t="s">
        <v>69</v>
      </c>
      <c r="Q59" s="39"/>
      <c r="V59" s="56" t="s">
        <v>68</v>
      </c>
      <c r="W59" s="57" t="s">
        <v>69</v>
      </c>
    </row>
    <row r="60" spans="1:24" ht="26.45" customHeight="1" x14ac:dyDescent="0.2">
      <c r="A60" s="58">
        <v>1</v>
      </c>
      <c r="B60" s="59" t="s">
        <v>57</v>
      </c>
      <c r="O60" s="58">
        <v>1</v>
      </c>
      <c r="P60" s="84" t="s">
        <v>66</v>
      </c>
      <c r="Q60" s="39"/>
      <c r="V60" s="58">
        <v>1</v>
      </c>
      <c r="W60" s="84" t="s">
        <v>66</v>
      </c>
    </row>
    <row r="61" spans="1:24" ht="26.45" customHeight="1" x14ac:dyDescent="0.2">
      <c r="A61" s="58">
        <v>2</v>
      </c>
      <c r="B61" s="58" t="s">
        <v>58</v>
      </c>
      <c r="O61" s="58">
        <v>2</v>
      </c>
      <c r="P61" s="84" t="s">
        <v>65</v>
      </c>
      <c r="V61" s="58">
        <v>2</v>
      </c>
      <c r="W61" s="84" t="s">
        <v>65</v>
      </c>
    </row>
    <row r="62" spans="1:24" ht="26.45" customHeight="1" x14ac:dyDescent="0.2">
      <c r="A62" s="58">
        <v>3</v>
      </c>
      <c r="B62" s="59" t="s">
        <v>59</v>
      </c>
      <c r="O62" s="58">
        <v>3</v>
      </c>
      <c r="P62" s="84" t="s">
        <v>64</v>
      </c>
      <c r="V62" s="58">
        <v>3</v>
      </c>
      <c r="W62" s="84" t="s">
        <v>64</v>
      </c>
    </row>
    <row r="63" spans="1:24" ht="26.45" customHeight="1" x14ac:dyDescent="0.2">
      <c r="A63" s="58">
        <v>4</v>
      </c>
      <c r="B63" s="59" t="s">
        <v>60</v>
      </c>
      <c r="O63" s="58">
        <v>4</v>
      </c>
      <c r="P63" s="84" t="s">
        <v>67</v>
      </c>
      <c r="V63" s="58">
        <v>4</v>
      </c>
      <c r="W63" s="84" t="s">
        <v>67</v>
      </c>
    </row>
    <row r="64" spans="1:24" ht="26.45" customHeight="1" x14ac:dyDescent="0.2">
      <c r="O64" s="58">
        <v>5</v>
      </c>
      <c r="P64" s="84" t="s">
        <v>20</v>
      </c>
      <c r="V64" s="58">
        <v>5</v>
      </c>
      <c r="W64" s="84" t="s">
        <v>20</v>
      </c>
    </row>
    <row r="65" spans="1:2" x14ac:dyDescent="0.2">
      <c r="A65" s="304">
        <f>+'ראשי-פרטים כלליים וריכוז הוצאות'!F7</f>
        <v>0</v>
      </c>
    </row>
    <row r="68" spans="1:2" x14ac:dyDescent="0.2">
      <c r="A68" s="460">
        <f>+'ראשי-פרטים כלליים וריכוז הוצאות'!C117</f>
        <v>1</v>
      </c>
      <c r="B68" s="15">
        <f>VLOOKUP(A68,'ראשי-פרטים כלליים וריכוז הוצאות'!$F$117:$P$130,11,0)</f>
        <v>0.33333000000000002</v>
      </c>
    </row>
    <row r="69" spans="1:2" x14ac:dyDescent="0.2">
      <c r="A69">
        <f>VLOOKUP(+'ראשי-פרטים כלליים וריכוז הוצאות'!C117,'ראשי-פרטים כלליים וריכוז הוצאות'!$F$116:$L$130,6,0)</f>
        <v>1</v>
      </c>
    </row>
  </sheetData>
  <sheetProtection password="CAD0" sheet="1" objects="1" scenarios="1"/>
  <customSheetViews>
    <customSheetView guid="{0C0A7354-1E68-4AF0-8238-6CB67405E9AA}" showPageBreaks="1" showRuler="0" topLeftCell="A4">
      <selection activeCell="B9" sqref="B9"/>
      <pageMargins left="0.75" right="0.75" top="1" bottom="1" header="0.5" footer="0.5"/>
      <pageSetup paperSize="9" orientation="landscape" r:id="rId1"/>
      <headerFooter alignWithMargins="0"/>
    </customSheetView>
  </customSheetViews>
  <mergeCells count="8">
    <mergeCell ref="O58:P58"/>
    <mergeCell ref="A1:B1"/>
    <mergeCell ref="A58:B58"/>
    <mergeCell ref="K1:P1"/>
    <mergeCell ref="X1:X2"/>
    <mergeCell ref="R1:W1"/>
    <mergeCell ref="V58:W58"/>
    <mergeCell ref="Q1:Q2"/>
  </mergeCells>
  <phoneticPr fontId="6" type="noConversion"/>
  <conditionalFormatting sqref="R3:S52">
    <cfRule type="cellIs" dxfId="32" priority="3" stopIfTrue="1" operator="notEqual">
      <formula>K3</formula>
    </cfRule>
  </conditionalFormatting>
  <conditionalFormatting sqref="T3:T52">
    <cfRule type="cellIs" dxfId="31" priority="4" stopIfTrue="1" operator="between">
      <formula>0.0001</formula>
      <formula>2499</formula>
    </cfRule>
    <cfRule type="cellIs" dxfId="30" priority="5" stopIfTrue="1" operator="notEqual">
      <formula>$G3</formula>
    </cfRule>
  </conditionalFormatting>
  <conditionalFormatting sqref="M3:M52">
    <cfRule type="cellIs" dxfId="29" priority="6" stopIfTrue="1" operator="between">
      <formula>2499</formula>
      <formula>0.6</formula>
    </cfRule>
    <cfRule type="cellIs" dxfId="28" priority="7" stopIfTrue="1" operator="notEqual">
      <formula>$G3</formula>
    </cfRule>
  </conditionalFormatting>
  <conditionalFormatting sqref="N3:N52">
    <cfRule type="cellIs" dxfId="27" priority="8" stopIfTrue="1" operator="notEqual">
      <formula>H3</formula>
    </cfRule>
  </conditionalFormatting>
  <conditionalFormatting sqref="F3:F52">
    <cfRule type="expression" dxfId="26" priority="9" stopIfTrue="1">
      <formula>((DATEDIF(D3,$H$1+1,"m"))&lt;F3)</formula>
    </cfRule>
    <cfRule type="cellIs" dxfId="25" priority="10" stopIfTrue="1" operator="greaterThan">
      <formula>$D$1</formula>
    </cfRule>
    <cfRule type="cellIs" dxfId="24" priority="11" stopIfTrue="1" operator="lessThan">
      <formula>0</formula>
    </cfRule>
  </conditionalFormatting>
  <conditionalFormatting sqref="D3:D52">
    <cfRule type="expression" dxfId="23" priority="12" stopIfTrue="1">
      <formula>AND((($F$1-$D3)-731&gt;0),COUNTA($D3)=1)</formula>
    </cfRule>
    <cfRule type="expression" dxfId="22" priority="13" stopIfTrue="1">
      <formula>AND((($F$1-$D3)&lt;0),COUNTA($D3)=1)</formula>
    </cfRule>
    <cfRule type="expression" dxfId="21" priority="14" stopIfTrue="1">
      <formula>AND((($H$1-$D3)-1096&gt;0),COUNTA($D3)=1)</formula>
    </cfRule>
  </conditionalFormatting>
  <conditionalFormatting sqref="K3:L52">
    <cfRule type="cellIs" dxfId="20" priority="15" stopIfTrue="1" operator="notEqual">
      <formula>E3</formula>
    </cfRule>
  </conditionalFormatting>
  <conditionalFormatting sqref="D1">
    <cfRule type="cellIs" dxfId="19" priority="16" stopIfTrue="1" operator="equal">
      <formula>0</formula>
    </cfRule>
  </conditionalFormatting>
  <conditionalFormatting sqref="G3:G52">
    <cfRule type="cellIs" dxfId="18" priority="17" stopIfTrue="1" operator="between">
      <formula>2499</formula>
      <formula>0.6</formula>
    </cfRule>
  </conditionalFormatting>
  <conditionalFormatting sqref="E3:E52">
    <cfRule type="cellIs" dxfId="17" priority="18" stopIfTrue="1" operator="greaterThan">
      <formula>1</formula>
    </cfRule>
  </conditionalFormatting>
  <conditionalFormatting sqref="I3:I52">
    <cfRule type="cellIs" dxfId="16" priority="19" stopIfTrue="1" operator="greaterThan">
      <formula>0.666</formula>
    </cfRule>
  </conditionalFormatting>
  <conditionalFormatting sqref="H2">
    <cfRule type="expression" dxfId="15" priority="20" stopIfTrue="1">
      <formula>$A$65="כן"</formula>
    </cfRule>
  </conditionalFormatting>
  <conditionalFormatting sqref="A68:A69">
    <cfRule type="expression" dxfId="14" priority="2" stopIfTrue="1">
      <formula>OR($A$68=1,$A$68=3,$A$68=5,$A$68=6)</formula>
    </cfRule>
  </conditionalFormatting>
  <conditionalFormatting sqref="A1:XFD1048576">
    <cfRule type="expression" dxfId="13" priority="1" stopIfTrue="1">
      <formula>$A$69=0</formula>
    </cfRule>
  </conditionalFormatting>
  <dataValidations xWindow="905" yWindow="292" count="8">
    <dataValidation type="decimal" allowBlank="1" showInputMessage="1" showErrorMessage="1" errorTitle="הזנת מס' חודשי שימוש שגויה:" error="מס' חודשי השימוש שהזנת חורגים מהפרש החודשים בין תאריך הרכישה ותאריך סיום המו&quot;פ._x000a_או שהוזנו באופן שגוי_x000a__x000a_נא להזין את מספר חודשי השימוש באופן תקין." sqref="F3:F52">
      <formula1>0</formula1>
      <formula2>MIN((1+(DATEDIF(D3,$H$1+1,"d"))/(DATEDIF($F$1,$H$1+1,"d"))*(DATEDIF($F$1,$H$1+1,"M"))),$D$1)</formula2>
    </dataValidation>
    <dataValidation type="list" allowBlank="1" showInputMessage="1" showErrorMessage="1" errorTitle="בודק מקצועי: נא בחר קוד נימוק" error="במידה והינך מעוניין בנימוק אחר, הקש חמש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אחר (נא פרט בעמודה משמאל)_x000a_" sqref="O3:O52">
      <formula1>$O$60:$O$64</formula1>
    </dataValidation>
    <dataValidation type="list" allowBlank="1" showInputMessage="1" showErrorMessage="1" errorTitle="בודק מקצועי: נא בחר קוד נימוק" error="במידה והינך מעוניין בנימוק אחר, הקש חמש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אחר (נא פרט בעמודה משמאל)_x000a_" sqref="V3:V52">
      <formula1>$V$60:$V$64</formula1>
    </dataValidation>
    <dataValidation type="decimal" allowBlank="1" showInputMessage="1" showErrorMessage="1" error="נא להזין עלות הציוד בש&quot;ח" sqref="G3:G52">
      <formula1>0</formula1>
      <formula2>999999999</formula2>
    </dataValidation>
    <dataValidation type="decimal" allowBlank="1" showInputMessage="1" showErrorMessage="1" error="אחוז השימוש בציוד מוגבל  ל-100%._x000a_נא להזין שנית בבקשה." sqref="E3:E52">
      <formula1>0</formula1>
      <formula2>1</formula2>
    </dataValidation>
    <dataValidation type="decimal" allowBlank="1" showInputMessage="1" showErrorMessage="1" error="יש לוודא כי הפחת המצטבר הינו בטווח שבין 0-100%" sqref="I3:I52">
      <formula1>0</formula1>
      <formula2>1.00001</formula2>
    </dataValidation>
    <dataValidation type="list" allowBlank="1" showErrorMessage="1" error="הצעת מחיר, _x000a_חוזה, _x000a_מחירון,_x000a_אמדן." promptTitle=" נא להקיש קוד עלות:" prompt="הצעת מחיר,_x000a_חוזה,_x000a_מחירון,_x000a_אמדן." sqref="J3:J52">
      <formula1>$B$60:$B$63</formula1>
    </dataValidation>
    <dataValidation type="date" errorStyle="warning" allowBlank="1" showInputMessage="1" showErrorMessage="1" error="נא להזין את תאריך רכישת הציוד כנדרש: dd/mm/yy_x000a__x000a_וודא כי תאריך הרכישה אינו עולה על 3 שנים מיום תחילת המו&quot;פ _x000a_ולחילופין שאינו חורג מסיום תקופת המו&quot;פ." sqref="D3:D52">
      <formula1>$F$1-1096</formula1>
      <formula2>$H$1</formula2>
    </dataValidation>
  </dataValidations>
  <printOptions horizontalCentered="1" verticalCentered="1"/>
  <pageMargins left="0.19685039370078741" right="0.24" top="0.15748031496062992" bottom="0.15748031496062992" header="3.937007874015748E-2" footer="3.937007874015748E-2"/>
  <pageSetup paperSize="9" scale="31" orientation="portrait" r:id="rId2"/>
  <headerFooter alignWithMargins="0">
    <oddFooter>עמוד &amp;P מתוך &amp;N</oddFooter>
  </headerFooter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theme="6" tint="0.59999389629810485"/>
  </sheetPr>
  <dimension ref="A1:T69"/>
  <sheetViews>
    <sheetView rightToLeft="1" workbookViewId="0">
      <selection activeCell="L15" sqref="L15"/>
    </sheetView>
  </sheetViews>
  <sheetFormatPr defaultRowHeight="12.75" outlineLevelCol="1" x14ac:dyDescent="0.2"/>
  <cols>
    <col min="2" max="2" width="19.42578125" customWidth="1"/>
    <col min="3" max="3" width="17.85546875" customWidth="1"/>
    <col min="4" max="4" width="11.5703125" customWidth="1"/>
    <col min="6" max="8" width="8.85546875" hidden="1" customWidth="1" outlineLevel="1"/>
    <col min="9" max="9" width="11.42578125" hidden="1" customWidth="1" outlineLevel="1"/>
    <col min="10" max="10" width="26.5703125" hidden="1" customWidth="1" outlineLevel="1"/>
    <col min="11" max="11" width="8.85546875" collapsed="1"/>
    <col min="12" max="15" width="8.85546875" hidden="1" customWidth="1" outlineLevel="1"/>
    <col min="16" max="16" width="25" hidden="1" customWidth="1" outlineLevel="1"/>
    <col min="17" max="17" width="8.85546875" collapsed="1"/>
    <col min="19" max="19" width="28.28515625" customWidth="1"/>
  </cols>
  <sheetData>
    <row r="1" spans="1:17" ht="79.150000000000006" customHeight="1" thickBot="1" x14ac:dyDescent="0.3">
      <c r="A1" s="614" t="s">
        <v>234</v>
      </c>
      <c r="B1" s="599"/>
      <c r="C1" s="599"/>
      <c r="D1" s="381">
        <f>'ראשי-פרטים כלליים וריכוז הוצאות'!F5</f>
        <v>0</v>
      </c>
      <c r="E1" s="130"/>
      <c r="F1" s="602" t="s">
        <v>199</v>
      </c>
      <c r="G1" s="604"/>
      <c r="H1" s="595" t="s">
        <v>149</v>
      </c>
      <c r="I1" s="596"/>
      <c r="J1" s="267">
        <v>0</v>
      </c>
      <c r="K1" s="435" t="s">
        <v>72</v>
      </c>
      <c r="L1" s="628" t="s">
        <v>249</v>
      </c>
      <c r="M1" s="629"/>
      <c r="N1" s="630" t="s">
        <v>104</v>
      </c>
      <c r="O1" s="631"/>
      <c r="P1" s="438">
        <v>0</v>
      </c>
      <c r="Q1" s="434" t="s">
        <v>221</v>
      </c>
    </row>
    <row r="2" spans="1:17" ht="63.75" x14ac:dyDescent="0.2">
      <c r="A2" s="35" t="s">
        <v>5</v>
      </c>
      <c r="B2" s="35" t="s">
        <v>77</v>
      </c>
      <c r="C2" s="35" t="s">
        <v>78</v>
      </c>
      <c r="D2" s="35" t="s">
        <v>100</v>
      </c>
      <c r="E2" s="35" t="s">
        <v>63</v>
      </c>
      <c r="F2" s="156" t="s">
        <v>70</v>
      </c>
      <c r="G2" s="68" t="s">
        <v>73</v>
      </c>
      <c r="H2" s="68" t="s">
        <v>71</v>
      </c>
      <c r="I2" s="68" t="s">
        <v>152</v>
      </c>
      <c r="J2" s="174" t="s">
        <v>24</v>
      </c>
      <c r="K2" s="444"/>
      <c r="L2" s="445" t="s">
        <v>198</v>
      </c>
      <c r="M2" s="445" t="s">
        <v>73</v>
      </c>
      <c r="N2" s="445" t="s">
        <v>102</v>
      </c>
      <c r="O2" s="445" t="s">
        <v>98</v>
      </c>
      <c r="P2" s="445" t="s">
        <v>24</v>
      </c>
      <c r="Q2" s="446"/>
    </row>
    <row r="3" spans="1:17" ht="15" customHeight="1" x14ac:dyDescent="0.2">
      <c r="A3" s="372">
        <v>1</v>
      </c>
      <c r="B3" s="373"/>
      <c r="C3" s="374"/>
      <c r="D3" s="375"/>
      <c r="E3" s="374"/>
      <c r="F3" s="157">
        <f>+E3</f>
        <v>0</v>
      </c>
      <c r="G3" s="279">
        <f t="shared" ref="G3:G42" si="0">IF($J$1&gt;0,1-$J$1,100%)</f>
        <v>1</v>
      </c>
      <c r="H3" s="91">
        <f>F3*G3</f>
        <v>0</v>
      </c>
      <c r="I3" s="92"/>
      <c r="J3" s="106" t="str">
        <f>IF(I3&gt;0,(VLOOKUP(I3,$R$58:$S$63,2,0)),"")</f>
        <v/>
      </c>
      <c r="K3" s="122"/>
      <c r="L3" s="439">
        <f>E3</f>
        <v>0</v>
      </c>
      <c r="M3" s="440">
        <f t="shared" ref="M3:M42" si="1">IF($P$1&gt;0,((1-$P$1)*(1-$J$1)),G3)</f>
        <v>1</v>
      </c>
      <c r="N3" s="441">
        <f>L3*M3</f>
        <v>0</v>
      </c>
      <c r="O3" s="442"/>
      <c r="P3" s="443" t="str">
        <f>IF(O3&gt;0,(VLOOKUP(O3,$R$58:$S$63,2,0)),"")</f>
        <v/>
      </c>
      <c r="Q3" s="126"/>
    </row>
    <row r="4" spans="1:17" x14ac:dyDescent="0.2">
      <c r="A4" s="372">
        <v>2</v>
      </c>
      <c r="B4" s="373"/>
      <c r="C4" s="376"/>
      <c r="D4" s="375"/>
      <c r="E4" s="374"/>
      <c r="F4" s="157">
        <f t="shared" ref="F4:F42" si="2">+E4</f>
        <v>0</v>
      </c>
      <c r="G4" s="279">
        <f t="shared" si="0"/>
        <v>1</v>
      </c>
      <c r="H4" s="91">
        <f t="shared" ref="H4:H42" si="3">F4*G4</f>
        <v>0</v>
      </c>
      <c r="I4" s="92"/>
      <c r="J4" s="106" t="str">
        <f t="shared" ref="J4:J42" si="4">IF(I4&gt;0,(VLOOKUP(I4,$R$58:$S$63,2,0)),"")</f>
        <v/>
      </c>
      <c r="K4" s="122"/>
      <c r="L4" s="105">
        <f t="shared" ref="L4:L42" si="5">E4</f>
        <v>0</v>
      </c>
      <c r="M4" s="90">
        <f t="shared" si="1"/>
        <v>1</v>
      </c>
      <c r="N4" s="111">
        <f t="shared" ref="N4:N42" si="6">L4*M4</f>
        <v>0</v>
      </c>
      <c r="O4" s="92"/>
      <c r="P4" s="106" t="str">
        <f t="shared" ref="P4:P42" si="7">IF(O4&gt;0,(VLOOKUP(O4,$R$58:$S$63,2,0)),"")</f>
        <v/>
      </c>
      <c r="Q4" s="126"/>
    </row>
    <row r="5" spans="1:17" x14ac:dyDescent="0.2">
      <c r="A5" s="372">
        <v>3</v>
      </c>
      <c r="B5" s="373"/>
      <c r="C5" s="376"/>
      <c r="D5" s="375"/>
      <c r="E5" s="374"/>
      <c r="F5" s="157">
        <f t="shared" si="2"/>
        <v>0</v>
      </c>
      <c r="G5" s="279">
        <f t="shared" si="0"/>
        <v>1</v>
      </c>
      <c r="H5" s="91">
        <f t="shared" si="3"/>
        <v>0</v>
      </c>
      <c r="I5" s="92"/>
      <c r="J5" s="106" t="str">
        <f t="shared" si="4"/>
        <v/>
      </c>
      <c r="K5" s="122"/>
      <c r="L5" s="105">
        <f t="shared" si="5"/>
        <v>0</v>
      </c>
      <c r="M5" s="90">
        <f t="shared" si="1"/>
        <v>1</v>
      </c>
      <c r="N5" s="111">
        <f t="shared" si="6"/>
        <v>0</v>
      </c>
      <c r="O5" s="92"/>
      <c r="P5" s="106" t="str">
        <f t="shared" si="7"/>
        <v/>
      </c>
      <c r="Q5" s="126"/>
    </row>
    <row r="6" spans="1:17" x14ac:dyDescent="0.2">
      <c r="A6" s="372">
        <v>4</v>
      </c>
      <c r="B6" s="373"/>
      <c r="C6" s="376"/>
      <c r="D6" s="375"/>
      <c r="E6" s="374"/>
      <c r="F6" s="157">
        <f t="shared" si="2"/>
        <v>0</v>
      </c>
      <c r="G6" s="279">
        <f t="shared" si="0"/>
        <v>1</v>
      </c>
      <c r="H6" s="91">
        <f t="shared" si="3"/>
        <v>0</v>
      </c>
      <c r="I6" s="92"/>
      <c r="J6" s="106" t="str">
        <f t="shared" si="4"/>
        <v/>
      </c>
      <c r="K6" s="122"/>
      <c r="L6" s="105">
        <f t="shared" si="5"/>
        <v>0</v>
      </c>
      <c r="M6" s="90">
        <f t="shared" si="1"/>
        <v>1</v>
      </c>
      <c r="N6" s="111">
        <f t="shared" si="6"/>
        <v>0</v>
      </c>
      <c r="O6" s="92"/>
      <c r="P6" s="106" t="str">
        <f t="shared" si="7"/>
        <v/>
      </c>
      <c r="Q6" s="126"/>
    </row>
    <row r="7" spans="1:17" x14ac:dyDescent="0.2">
      <c r="A7" s="372">
        <v>5</v>
      </c>
      <c r="B7" s="373"/>
      <c r="C7" s="376"/>
      <c r="D7" s="375"/>
      <c r="E7" s="374"/>
      <c r="F7" s="157">
        <f t="shared" si="2"/>
        <v>0</v>
      </c>
      <c r="G7" s="279">
        <f t="shared" si="0"/>
        <v>1</v>
      </c>
      <c r="H7" s="91">
        <f t="shared" si="3"/>
        <v>0</v>
      </c>
      <c r="I7" s="92"/>
      <c r="J7" s="106" t="str">
        <f t="shared" si="4"/>
        <v/>
      </c>
      <c r="K7" s="122"/>
      <c r="L7" s="105">
        <f t="shared" si="5"/>
        <v>0</v>
      </c>
      <c r="M7" s="90">
        <f t="shared" si="1"/>
        <v>1</v>
      </c>
      <c r="N7" s="111">
        <f t="shared" si="6"/>
        <v>0</v>
      </c>
      <c r="O7" s="92"/>
      <c r="P7" s="106" t="str">
        <f t="shared" si="7"/>
        <v/>
      </c>
      <c r="Q7" s="126"/>
    </row>
    <row r="8" spans="1:17" x14ac:dyDescent="0.2">
      <c r="A8" s="372">
        <v>6</v>
      </c>
      <c r="B8" s="373"/>
      <c r="C8" s="376"/>
      <c r="D8" s="375"/>
      <c r="E8" s="374"/>
      <c r="F8" s="157">
        <f t="shared" si="2"/>
        <v>0</v>
      </c>
      <c r="G8" s="279">
        <f t="shared" si="0"/>
        <v>1</v>
      </c>
      <c r="H8" s="91">
        <f t="shared" si="3"/>
        <v>0</v>
      </c>
      <c r="I8" s="92"/>
      <c r="J8" s="106" t="str">
        <f t="shared" si="4"/>
        <v/>
      </c>
      <c r="K8" s="122"/>
      <c r="L8" s="105">
        <f t="shared" si="5"/>
        <v>0</v>
      </c>
      <c r="M8" s="90">
        <f t="shared" si="1"/>
        <v>1</v>
      </c>
      <c r="N8" s="111">
        <f t="shared" si="6"/>
        <v>0</v>
      </c>
      <c r="O8" s="92"/>
      <c r="P8" s="106" t="str">
        <f t="shared" si="7"/>
        <v/>
      </c>
      <c r="Q8" s="126"/>
    </row>
    <row r="9" spans="1:17" x14ac:dyDescent="0.2">
      <c r="A9" s="372">
        <v>7</v>
      </c>
      <c r="B9" s="373"/>
      <c r="C9" s="374"/>
      <c r="D9" s="375"/>
      <c r="E9" s="374"/>
      <c r="F9" s="157">
        <f t="shared" si="2"/>
        <v>0</v>
      </c>
      <c r="G9" s="279">
        <f t="shared" si="0"/>
        <v>1</v>
      </c>
      <c r="H9" s="91">
        <f t="shared" si="3"/>
        <v>0</v>
      </c>
      <c r="I9" s="92"/>
      <c r="J9" s="106" t="str">
        <f t="shared" si="4"/>
        <v/>
      </c>
      <c r="K9" s="122"/>
      <c r="L9" s="105">
        <f t="shared" si="5"/>
        <v>0</v>
      </c>
      <c r="M9" s="90">
        <f t="shared" si="1"/>
        <v>1</v>
      </c>
      <c r="N9" s="111">
        <f t="shared" si="6"/>
        <v>0</v>
      </c>
      <c r="O9" s="92"/>
      <c r="P9" s="106" t="str">
        <f t="shared" si="7"/>
        <v/>
      </c>
      <c r="Q9" s="126"/>
    </row>
    <row r="10" spans="1:17" x14ac:dyDescent="0.2">
      <c r="A10" s="372">
        <v>8</v>
      </c>
      <c r="B10" s="373"/>
      <c r="C10" s="376"/>
      <c r="D10" s="375"/>
      <c r="E10" s="374"/>
      <c r="F10" s="157">
        <f t="shared" si="2"/>
        <v>0</v>
      </c>
      <c r="G10" s="279">
        <f t="shared" si="0"/>
        <v>1</v>
      </c>
      <c r="H10" s="91">
        <f t="shared" si="3"/>
        <v>0</v>
      </c>
      <c r="I10" s="92"/>
      <c r="J10" s="106" t="str">
        <f t="shared" si="4"/>
        <v/>
      </c>
      <c r="K10" s="122"/>
      <c r="L10" s="105">
        <f t="shared" si="5"/>
        <v>0</v>
      </c>
      <c r="M10" s="90">
        <f t="shared" si="1"/>
        <v>1</v>
      </c>
      <c r="N10" s="111">
        <f t="shared" si="6"/>
        <v>0</v>
      </c>
      <c r="O10" s="92"/>
      <c r="P10" s="106" t="str">
        <f t="shared" si="7"/>
        <v/>
      </c>
      <c r="Q10" s="126"/>
    </row>
    <row r="11" spans="1:17" x14ac:dyDescent="0.2">
      <c r="A11" s="372">
        <v>9</v>
      </c>
      <c r="B11" s="373"/>
      <c r="C11" s="376"/>
      <c r="D11" s="375"/>
      <c r="E11" s="374"/>
      <c r="F11" s="157">
        <f t="shared" si="2"/>
        <v>0</v>
      </c>
      <c r="G11" s="279">
        <f t="shared" si="0"/>
        <v>1</v>
      </c>
      <c r="H11" s="91">
        <f t="shared" si="3"/>
        <v>0</v>
      </c>
      <c r="I11" s="92"/>
      <c r="J11" s="106" t="str">
        <f t="shared" si="4"/>
        <v/>
      </c>
      <c r="K11" s="122"/>
      <c r="L11" s="105">
        <f t="shared" si="5"/>
        <v>0</v>
      </c>
      <c r="M11" s="90">
        <f t="shared" si="1"/>
        <v>1</v>
      </c>
      <c r="N11" s="111">
        <f t="shared" si="6"/>
        <v>0</v>
      </c>
      <c r="O11" s="92"/>
      <c r="P11" s="106" t="str">
        <f t="shared" si="7"/>
        <v/>
      </c>
      <c r="Q11" s="126"/>
    </row>
    <row r="12" spans="1:17" x14ac:dyDescent="0.2">
      <c r="A12" s="372">
        <v>10</v>
      </c>
      <c r="B12" s="373"/>
      <c r="C12" s="376"/>
      <c r="D12" s="375"/>
      <c r="E12" s="374"/>
      <c r="F12" s="157">
        <f t="shared" si="2"/>
        <v>0</v>
      </c>
      <c r="G12" s="279">
        <f t="shared" si="0"/>
        <v>1</v>
      </c>
      <c r="H12" s="91">
        <f t="shared" si="3"/>
        <v>0</v>
      </c>
      <c r="I12" s="92"/>
      <c r="J12" s="106" t="str">
        <f t="shared" si="4"/>
        <v/>
      </c>
      <c r="K12" s="122"/>
      <c r="L12" s="105">
        <f t="shared" si="5"/>
        <v>0</v>
      </c>
      <c r="M12" s="90">
        <f t="shared" si="1"/>
        <v>1</v>
      </c>
      <c r="N12" s="111">
        <f t="shared" si="6"/>
        <v>0</v>
      </c>
      <c r="O12" s="92"/>
      <c r="P12" s="106" t="str">
        <f t="shared" si="7"/>
        <v/>
      </c>
      <c r="Q12" s="126"/>
    </row>
    <row r="13" spans="1:17" x14ac:dyDescent="0.2">
      <c r="A13" s="372">
        <v>11</v>
      </c>
      <c r="B13" s="373"/>
      <c r="C13" s="376"/>
      <c r="D13" s="375"/>
      <c r="E13" s="374"/>
      <c r="F13" s="157">
        <f t="shared" si="2"/>
        <v>0</v>
      </c>
      <c r="G13" s="279">
        <f t="shared" si="0"/>
        <v>1</v>
      </c>
      <c r="H13" s="91">
        <f t="shared" si="3"/>
        <v>0</v>
      </c>
      <c r="I13" s="92"/>
      <c r="J13" s="106" t="str">
        <f t="shared" si="4"/>
        <v/>
      </c>
      <c r="K13" s="122"/>
      <c r="L13" s="105">
        <f t="shared" si="5"/>
        <v>0</v>
      </c>
      <c r="M13" s="90">
        <f t="shared" si="1"/>
        <v>1</v>
      </c>
      <c r="N13" s="111">
        <f t="shared" si="6"/>
        <v>0</v>
      </c>
      <c r="O13" s="92"/>
      <c r="P13" s="106" t="str">
        <f t="shared" si="7"/>
        <v/>
      </c>
      <c r="Q13" s="126"/>
    </row>
    <row r="14" spans="1:17" x14ac:dyDescent="0.2">
      <c r="A14" s="372">
        <v>12</v>
      </c>
      <c r="B14" s="373"/>
      <c r="C14" s="376"/>
      <c r="D14" s="375"/>
      <c r="E14" s="374"/>
      <c r="F14" s="157">
        <f t="shared" si="2"/>
        <v>0</v>
      </c>
      <c r="G14" s="279">
        <f t="shared" si="0"/>
        <v>1</v>
      </c>
      <c r="H14" s="91">
        <f t="shared" si="3"/>
        <v>0</v>
      </c>
      <c r="I14" s="92"/>
      <c r="J14" s="106" t="str">
        <f t="shared" si="4"/>
        <v/>
      </c>
      <c r="K14" s="122"/>
      <c r="L14" s="105">
        <f t="shared" si="5"/>
        <v>0</v>
      </c>
      <c r="M14" s="90">
        <f t="shared" si="1"/>
        <v>1</v>
      </c>
      <c r="N14" s="111">
        <f t="shared" si="6"/>
        <v>0</v>
      </c>
      <c r="O14" s="92"/>
      <c r="P14" s="106" t="str">
        <f t="shared" si="7"/>
        <v/>
      </c>
      <c r="Q14" s="126"/>
    </row>
    <row r="15" spans="1:17" x14ac:dyDescent="0.2">
      <c r="A15" s="372">
        <v>13</v>
      </c>
      <c r="B15" s="373"/>
      <c r="C15" s="376"/>
      <c r="D15" s="375"/>
      <c r="E15" s="374"/>
      <c r="F15" s="157">
        <f t="shared" si="2"/>
        <v>0</v>
      </c>
      <c r="G15" s="279">
        <f t="shared" si="0"/>
        <v>1</v>
      </c>
      <c r="H15" s="91">
        <f t="shared" si="3"/>
        <v>0</v>
      </c>
      <c r="I15" s="92"/>
      <c r="J15" s="106" t="str">
        <f t="shared" si="4"/>
        <v/>
      </c>
      <c r="K15" s="122"/>
      <c r="L15" s="105">
        <f t="shared" si="5"/>
        <v>0</v>
      </c>
      <c r="M15" s="90">
        <f t="shared" si="1"/>
        <v>1</v>
      </c>
      <c r="N15" s="111">
        <f t="shared" si="6"/>
        <v>0</v>
      </c>
      <c r="O15" s="92"/>
      <c r="P15" s="106" t="str">
        <f t="shared" si="7"/>
        <v/>
      </c>
      <c r="Q15" s="126"/>
    </row>
    <row r="16" spans="1:17" x14ac:dyDescent="0.2">
      <c r="A16" s="372">
        <v>14</v>
      </c>
      <c r="B16" s="373"/>
      <c r="C16" s="376"/>
      <c r="D16" s="375"/>
      <c r="E16" s="374"/>
      <c r="F16" s="157">
        <f t="shared" si="2"/>
        <v>0</v>
      </c>
      <c r="G16" s="279">
        <f t="shared" si="0"/>
        <v>1</v>
      </c>
      <c r="H16" s="91">
        <f t="shared" si="3"/>
        <v>0</v>
      </c>
      <c r="I16" s="92"/>
      <c r="J16" s="106" t="str">
        <f t="shared" si="4"/>
        <v/>
      </c>
      <c r="K16" s="122"/>
      <c r="L16" s="105">
        <f t="shared" si="5"/>
        <v>0</v>
      </c>
      <c r="M16" s="90">
        <f t="shared" si="1"/>
        <v>1</v>
      </c>
      <c r="N16" s="111">
        <f t="shared" si="6"/>
        <v>0</v>
      </c>
      <c r="O16" s="92"/>
      <c r="P16" s="106" t="str">
        <f t="shared" si="7"/>
        <v/>
      </c>
      <c r="Q16" s="126"/>
    </row>
    <row r="17" spans="1:17" x14ac:dyDescent="0.2">
      <c r="A17" s="372">
        <v>15</v>
      </c>
      <c r="B17" s="373"/>
      <c r="C17" s="376"/>
      <c r="D17" s="375"/>
      <c r="E17" s="374"/>
      <c r="F17" s="157">
        <f t="shared" si="2"/>
        <v>0</v>
      </c>
      <c r="G17" s="279">
        <f t="shared" si="0"/>
        <v>1</v>
      </c>
      <c r="H17" s="91">
        <f t="shared" si="3"/>
        <v>0</v>
      </c>
      <c r="I17" s="92"/>
      <c r="J17" s="106" t="str">
        <f t="shared" si="4"/>
        <v/>
      </c>
      <c r="K17" s="122"/>
      <c r="L17" s="105">
        <f t="shared" si="5"/>
        <v>0</v>
      </c>
      <c r="M17" s="90">
        <f t="shared" si="1"/>
        <v>1</v>
      </c>
      <c r="N17" s="111">
        <f t="shared" si="6"/>
        <v>0</v>
      </c>
      <c r="O17" s="92"/>
      <c r="P17" s="106" t="str">
        <f t="shared" si="7"/>
        <v/>
      </c>
      <c r="Q17" s="126"/>
    </row>
    <row r="18" spans="1:17" x14ac:dyDescent="0.2">
      <c r="A18" s="372">
        <v>16</v>
      </c>
      <c r="B18" s="373"/>
      <c r="C18" s="376"/>
      <c r="D18" s="375"/>
      <c r="E18" s="374"/>
      <c r="F18" s="157">
        <f t="shared" si="2"/>
        <v>0</v>
      </c>
      <c r="G18" s="279">
        <f t="shared" si="0"/>
        <v>1</v>
      </c>
      <c r="H18" s="91">
        <f t="shared" si="3"/>
        <v>0</v>
      </c>
      <c r="I18" s="92"/>
      <c r="J18" s="106" t="str">
        <f t="shared" si="4"/>
        <v/>
      </c>
      <c r="K18" s="122"/>
      <c r="L18" s="105">
        <f t="shared" si="5"/>
        <v>0</v>
      </c>
      <c r="M18" s="90">
        <f t="shared" si="1"/>
        <v>1</v>
      </c>
      <c r="N18" s="111">
        <f t="shared" si="6"/>
        <v>0</v>
      </c>
      <c r="O18" s="92"/>
      <c r="P18" s="106" t="str">
        <f t="shared" si="7"/>
        <v/>
      </c>
      <c r="Q18" s="126"/>
    </row>
    <row r="19" spans="1:17" x14ac:dyDescent="0.2">
      <c r="A19" s="372">
        <v>17</v>
      </c>
      <c r="B19" s="373"/>
      <c r="C19" s="376"/>
      <c r="D19" s="375"/>
      <c r="E19" s="374"/>
      <c r="F19" s="157">
        <f t="shared" si="2"/>
        <v>0</v>
      </c>
      <c r="G19" s="279">
        <f t="shared" si="0"/>
        <v>1</v>
      </c>
      <c r="H19" s="91">
        <f t="shared" si="3"/>
        <v>0</v>
      </c>
      <c r="I19" s="92"/>
      <c r="J19" s="106" t="str">
        <f t="shared" si="4"/>
        <v/>
      </c>
      <c r="K19" s="122"/>
      <c r="L19" s="105">
        <f t="shared" si="5"/>
        <v>0</v>
      </c>
      <c r="M19" s="90">
        <f t="shared" si="1"/>
        <v>1</v>
      </c>
      <c r="N19" s="111">
        <f t="shared" si="6"/>
        <v>0</v>
      </c>
      <c r="O19" s="92"/>
      <c r="P19" s="106" t="str">
        <f t="shared" si="7"/>
        <v/>
      </c>
      <c r="Q19" s="126"/>
    </row>
    <row r="20" spans="1:17" x14ac:dyDescent="0.2">
      <c r="A20" s="372">
        <v>18</v>
      </c>
      <c r="B20" s="373"/>
      <c r="C20" s="376"/>
      <c r="D20" s="375"/>
      <c r="E20" s="374"/>
      <c r="F20" s="157">
        <f t="shared" si="2"/>
        <v>0</v>
      </c>
      <c r="G20" s="279">
        <f t="shared" si="0"/>
        <v>1</v>
      </c>
      <c r="H20" s="91">
        <f t="shared" si="3"/>
        <v>0</v>
      </c>
      <c r="I20" s="92"/>
      <c r="J20" s="106" t="str">
        <f t="shared" si="4"/>
        <v/>
      </c>
      <c r="K20" s="122"/>
      <c r="L20" s="105">
        <f t="shared" si="5"/>
        <v>0</v>
      </c>
      <c r="M20" s="90">
        <f t="shared" si="1"/>
        <v>1</v>
      </c>
      <c r="N20" s="111">
        <f t="shared" si="6"/>
        <v>0</v>
      </c>
      <c r="O20" s="92"/>
      <c r="P20" s="106" t="str">
        <f t="shared" si="7"/>
        <v/>
      </c>
      <c r="Q20" s="126"/>
    </row>
    <row r="21" spans="1:17" x14ac:dyDescent="0.2">
      <c r="A21" s="372">
        <v>19</v>
      </c>
      <c r="B21" s="373"/>
      <c r="C21" s="376"/>
      <c r="D21" s="375"/>
      <c r="E21" s="374"/>
      <c r="F21" s="157">
        <f t="shared" si="2"/>
        <v>0</v>
      </c>
      <c r="G21" s="279">
        <f t="shared" si="0"/>
        <v>1</v>
      </c>
      <c r="H21" s="91">
        <f t="shared" si="3"/>
        <v>0</v>
      </c>
      <c r="I21" s="92"/>
      <c r="J21" s="106" t="str">
        <f t="shared" si="4"/>
        <v/>
      </c>
      <c r="K21" s="122"/>
      <c r="L21" s="105">
        <f t="shared" si="5"/>
        <v>0</v>
      </c>
      <c r="M21" s="90">
        <f t="shared" si="1"/>
        <v>1</v>
      </c>
      <c r="N21" s="111">
        <f t="shared" si="6"/>
        <v>0</v>
      </c>
      <c r="O21" s="92"/>
      <c r="P21" s="106" t="str">
        <f t="shared" si="7"/>
        <v/>
      </c>
      <c r="Q21" s="126"/>
    </row>
    <row r="22" spans="1:17" x14ac:dyDescent="0.2">
      <c r="A22" s="372">
        <v>20</v>
      </c>
      <c r="B22" s="373"/>
      <c r="C22" s="376"/>
      <c r="D22" s="375"/>
      <c r="E22" s="374"/>
      <c r="F22" s="157">
        <f t="shared" si="2"/>
        <v>0</v>
      </c>
      <c r="G22" s="279">
        <f t="shared" si="0"/>
        <v>1</v>
      </c>
      <c r="H22" s="91">
        <f t="shared" si="3"/>
        <v>0</v>
      </c>
      <c r="I22" s="92"/>
      <c r="J22" s="106" t="str">
        <f t="shared" si="4"/>
        <v/>
      </c>
      <c r="K22" s="122"/>
      <c r="L22" s="105">
        <f t="shared" si="5"/>
        <v>0</v>
      </c>
      <c r="M22" s="90">
        <f t="shared" si="1"/>
        <v>1</v>
      </c>
      <c r="N22" s="111">
        <f t="shared" si="6"/>
        <v>0</v>
      </c>
      <c r="O22" s="92"/>
      <c r="P22" s="106" t="str">
        <f t="shared" si="7"/>
        <v/>
      </c>
      <c r="Q22" s="126"/>
    </row>
    <row r="23" spans="1:17" x14ac:dyDescent="0.2">
      <c r="A23" s="372">
        <v>21</v>
      </c>
      <c r="B23" s="373"/>
      <c r="C23" s="376"/>
      <c r="D23" s="375"/>
      <c r="E23" s="374"/>
      <c r="F23" s="157">
        <f t="shared" si="2"/>
        <v>0</v>
      </c>
      <c r="G23" s="279">
        <f t="shared" si="0"/>
        <v>1</v>
      </c>
      <c r="H23" s="91">
        <f t="shared" si="3"/>
        <v>0</v>
      </c>
      <c r="I23" s="92"/>
      <c r="J23" s="106" t="str">
        <f t="shared" si="4"/>
        <v/>
      </c>
      <c r="K23" s="122"/>
      <c r="L23" s="105">
        <f t="shared" si="5"/>
        <v>0</v>
      </c>
      <c r="M23" s="90">
        <f t="shared" si="1"/>
        <v>1</v>
      </c>
      <c r="N23" s="111">
        <f t="shared" si="6"/>
        <v>0</v>
      </c>
      <c r="O23" s="92"/>
      <c r="P23" s="106" t="str">
        <f t="shared" si="7"/>
        <v/>
      </c>
      <c r="Q23" s="126"/>
    </row>
    <row r="24" spans="1:17" x14ac:dyDescent="0.2">
      <c r="A24" s="372">
        <v>22</v>
      </c>
      <c r="B24" s="373"/>
      <c r="C24" s="376"/>
      <c r="D24" s="375"/>
      <c r="E24" s="374"/>
      <c r="F24" s="157">
        <f t="shared" si="2"/>
        <v>0</v>
      </c>
      <c r="G24" s="279">
        <f t="shared" si="0"/>
        <v>1</v>
      </c>
      <c r="H24" s="91">
        <f t="shared" si="3"/>
        <v>0</v>
      </c>
      <c r="I24" s="92"/>
      <c r="J24" s="106" t="str">
        <f t="shared" si="4"/>
        <v/>
      </c>
      <c r="K24" s="122"/>
      <c r="L24" s="105">
        <f t="shared" si="5"/>
        <v>0</v>
      </c>
      <c r="M24" s="90">
        <f t="shared" si="1"/>
        <v>1</v>
      </c>
      <c r="N24" s="111">
        <f t="shared" si="6"/>
        <v>0</v>
      </c>
      <c r="O24" s="92"/>
      <c r="P24" s="106" t="str">
        <f t="shared" si="7"/>
        <v/>
      </c>
      <c r="Q24" s="126"/>
    </row>
    <row r="25" spans="1:17" x14ac:dyDescent="0.2">
      <c r="A25" s="372">
        <v>23</v>
      </c>
      <c r="B25" s="373"/>
      <c r="C25" s="376"/>
      <c r="D25" s="375"/>
      <c r="E25" s="374"/>
      <c r="F25" s="157">
        <f t="shared" si="2"/>
        <v>0</v>
      </c>
      <c r="G25" s="279">
        <f t="shared" si="0"/>
        <v>1</v>
      </c>
      <c r="H25" s="91">
        <f t="shared" si="3"/>
        <v>0</v>
      </c>
      <c r="I25" s="92"/>
      <c r="J25" s="106" t="str">
        <f t="shared" si="4"/>
        <v/>
      </c>
      <c r="K25" s="122"/>
      <c r="L25" s="105">
        <f t="shared" si="5"/>
        <v>0</v>
      </c>
      <c r="M25" s="90">
        <f t="shared" si="1"/>
        <v>1</v>
      </c>
      <c r="N25" s="111">
        <f t="shared" si="6"/>
        <v>0</v>
      </c>
      <c r="O25" s="92"/>
      <c r="P25" s="106" t="str">
        <f t="shared" si="7"/>
        <v/>
      </c>
      <c r="Q25" s="126"/>
    </row>
    <row r="26" spans="1:17" x14ac:dyDescent="0.2">
      <c r="A26" s="372">
        <v>24</v>
      </c>
      <c r="B26" s="373"/>
      <c r="C26" s="376"/>
      <c r="D26" s="375"/>
      <c r="E26" s="374"/>
      <c r="F26" s="157">
        <f t="shared" si="2"/>
        <v>0</v>
      </c>
      <c r="G26" s="279">
        <f t="shared" si="0"/>
        <v>1</v>
      </c>
      <c r="H26" s="91">
        <f t="shared" si="3"/>
        <v>0</v>
      </c>
      <c r="I26" s="92"/>
      <c r="J26" s="106" t="str">
        <f t="shared" si="4"/>
        <v/>
      </c>
      <c r="K26" s="122"/>
      <c r="L26" s="105">
        <f t="shared" si="5"/>
        <v>0</v>
      </c>
      <c r="M26" s="90">
        <f t="shared" si="1"/>
        <v>1</v>
      </c>
      <c r="N26" s="111">
        <f t="shared" si="6"/>
        <v>0</v>
      </c>
      <c r="O26" s="92"/>
      <c r="P26" s="106" t="str">
        <f t="shared" si="7"/>
        <v/>
      </c>
      <c r="Q26" s="126"/>
    </row>
    <row r="27" spans="1:17" x14ac:dyDescent="0.2">
      <c r="A27" s="372">
        <v>25</v>
      </c>
      <c r="B27" s="373"/>
      <c r="C27" s="376"/>
      <c r="D27" s="375"/>
      <c r="E27" s="374"/>
      <c r="F27" s="157">
        <f t="shared" si="2"/>
        <v>0</v>
      </c>
      <c r="G27" s="279">
        <f t="shared" si="0"/>
        <v>1</v>
      </c>
      <c r="H27" s="91">
        <f t="shared" si="3"/>
        <v>0</v>
      </c>
      <c r="I27" s="92"/>
      <c r="J27" s="106" t="str">
        <f t="shared" si="4"/>
        <v/>
      </c>
      <c r="K27" s="122"/>
      <c r="L27" s="105">
        <f t="shared" si="5"/>
        <v>0</v>
      </c>
      <c r="M27" s="90">
        <f t="shared" si="1"/>
        <v>1</v>
      </c>
      <c r="N27" s="111">
        <f t="shared" si="6"/>
        <v>0</v>
      </c>
      <c r="O27" s="92"/>
      <c r="P27" s="106" t="str">
        <f t="shared" si="7"/>
        <v/>
      </c>
      <c r="Q27" s="126"/>
    </row>
    <row r="28" spans="1:17" x14ac:dyDescent="0.2">
      <c r="A28" s="372">
        <v>26</v>
      </c>
      <c r="B28" s="373"/>
      <c r="C28" s="376"/>
      <c r="D28" s="375"/>
      <c r="E28" s="374"/>
      <c r="F28" s="157">
        <f t="shared" si="2"/>
        <v>0</v>
      </c>
      <c r="G28" s="279">
        <f t="shared" si="0"/>
        <v>1</v>
      </c>
      <c r="H28" s="91">
        <f t="shared" si="3"/>
        <v>0</v>
      </c>
      <c r="I28" s="92"/>
      <c r="J28" s="106" t="str">
        <f t="shared" si="4"/>
        <v/>
      </c>
      <c r="K28" s="122"/>
      <c r="L28" s="105">
        <f t="shared" si="5"/>
        <v>0</v>
      </c>
      <c r="M28" s="90">
        <f t="shared" si="1"/>
        <v>1</v>
      </c>
      <c r="N28" s="111">
        <f t="shared" si="6"/>
        <v>0</v>
      </c>
      <c r="O28" s="92"/>
      <c r="P28" s="106" t="str">
        <f t="shared" si="7"/>
        <v/>
      </c>
      <c r="Q28" s="126"/>
    </row>
    <row r="29" spans="1:17" x14ac:dyDescent="0.2">
      <c r="A29" s="372">
        <v>27</v>
      </c>
      <c r="B29" s="373"/>
      <c r="C29" s="376"/>
      <c r="D29" s="375"/>
      <c r="E29" s="374"/>
      <c r="F29" s="157">
        <f t="shared" si="2"/>
        <v>0</v>
      </c>
      <c r="G29" s="279">
        <f t="shared" si="0"/>
        <v>1</v>
      </c>
      <c r="H29" s="91">
        <f t="shared" si="3"/>
        <v>0</v>
      </c>
      <c r="I29" s="92"/>
      <c r="J29" s="106" t="str">
        <f t="shared" si="4"/>
        <v/>
      </c>
      <c r="K29" s="122"/>
      <c r="L29" s="105">
        <f t="shared" si="5"/>
        <v>0</v>
      </c>
      <c r="M29" s="90">
        <f t="shared" si="1"/>
        <v>1</v>
      </c>
      <c r="N29" s="111">
        <f t="shared" si="6"/>
        <v>0</v>
      </c>
      <c r="O29" s="92"/>
      <c r="P29" s="106" t="str">
        <f t="shared" si="7"/>
        <v/>
      </c>
      <c r="Q29" s="126"/>
    </row>
    <row r="30" spans="1:17" x14ac:dyDescent="0.2">
      <c r="A30" s="372">
        <v>28</v>
      </c>
      <c r="B30" s="373"/>
      <c r="C30" s="376"/>
      <c r="D30" s="375"/>
      <c r="E30" s="374"/>
      <c r="F30" s="157">
        <f t="shared" si="2"/>
        <v>0</v>
      </c>
      <c r="G30" s="279">
        <f t="shared" si="0"/>
        <v>1</v>
      </c>
      <c r="H30" s="91">
        <f t="shared" si="3"/>
        <v>0</v>
      </c>
      <c r="I30" s="92"/>
      <c r="J30" s="106" t="str">
        <f t="shared" si="4"/>
        <v/>
      </c>
      <c r="K30" s="122"/>
      <c r="L30" s="105">
        <f t="shared" si="5"/>
        <v>0</v>
      </c>
      <c r="M30" s="90">
        <f t="shared" si="1"/>
        <v>1</v>
      </c>
      <c r="N30" s="111">
        <f t="shared" si="6"/>
        <v>0</v>
      </c>
      <c r="O30" s="92"/>
      <c r="P30" s="106" t="str">
        <f t="shared" si="7"/>
        <v/>
      </c>
      <c r="Q30" s="126"/>
    </row>
    <row r="31" spans="1:17" x14ac:dyDescent="0.2">
      <c r="A31" s="372">
        <v>29</v>
      </c>
      <c r="B31" s="373"/>
      <c r="C31" s="376"/>
      <c r="D31" s="375"/>
      <c r="E31" s="374"/>
      <c r="F31" s="157">
        <f t="shared" si="2"/>
        <v>0</v>
      </c>
      <c r="G31" s="279">
        <f t="shared" si="0"/>
        <v>1</v>
      </c>
      <c r="H31" s="91">
        <f t="shared" si="3"/>
        <v>0</v>
      </c>
      <c r="I31" s="92"/>
      <c r="J31" s="106" t="str">
        <f t="shared" si="4"/>
        <v/>
      </c>
      <c r="K31" s="122"/>
      <c r="L31" s="105">
        <f t="shared" si="5"/>
        <v>0</v>
      </c>
      <c r="M31" s="90">
        <f t="shared" si="1"/>
        <v>1</v>
      </c>
      <c r="N31" s="111">
        <f t="shared" si="6"/>
        <v>0</v>
      </c>
      <c r="O31" s="92"/>
      <c r="P31" s="106" t="str">
        <f t="shared" si="7"/>
        <v/>
      </c>
      <c r="Q31" s="126"/>
    </row>
    <row r="32" spans="1:17" x14ac:dyDescent="0.2">
      <c r="A32" s="372">
        <v>30</v>
      </c>
      <c r="B32" s="373"/>
      <c r="C32" s="376"/>
      <c r="D32" s="375"/>
      <c r="E32" s="374"/>
      <c r="F32" s="157">
        <f t="shared" si="2"/>
        <v>0</v>
      </c>
      <c r="G32" s="279">
        <f t="shared" si="0"/>
        <v>1</v>
      </c>
      <c r="H32" s="91">
        <f t="shared" si="3"/>
        <v>0</v>
      </c>
      <c r="I32" s="92"/>
      <c r="J32" s="106" t="str">
        <f t="shared" si="4"/>
        <v/>
      </c>
      <c r="K32" s="122"/>
      <c r="L32" s="105">
        <f t="shared" si="5"/>
        <v>0</v>
      </c>
      <c r="M32" s="90">
        <f t="shared" si="1"/>
        <v>1</v>
      </c>
      <c r="N32" s="111">
        <f t="shared" si="6"/>
        <v>0</v>
      </c>
      <c r="O32" s="92"/>
      <c r="P32" s="106" t="str">
        <f t="shared" si="7"/>
        <v/>
      </c>
      <c r="Q32" s="126"/>
    </row>
    <row r="33" spans="1:17" x14ac:dyDescent="0.2">
      <c r="A33" s="372">
        <v>31</v>
      </c>
      <c r="B33" s="373"/>
      <c r="C33" s="376"/>
      <c r="D33" s="375"/>
      <c r="E33" s="374"/>
      <c r="F33" s="157">
        <f t="shared" si="2"/>
        <v>0</v>
      </c>
      <c r="G33" s="279">
        <f t="shared" si="0"/>
        <v>1</v>
      </c>
      <c r="H33" s="91">
        <f t="shared" si="3"/>
        <v>0</v>
      </c>
      <c r="I33" s="92"/>
      <c r="J33" s="106" t="str">
        <f t="shared" si="4"/>
        <v/>
      </c>
      <c r="K33" s="122"/>
      <c r="L33" s="105">
        <f t="shared" si="5"/>
        <v>0</v>
      </c>
      <c r="M33" s="90">
        <f t="shared" si="1"/>
        <v>1</v>
      </c>
      <c r="N33" s="111">
        <f t="shared" si="6"/>
        <v>0</v>
      </c>
      <c r="O33" s="92"/>
      <c r="P33" s="106" t="str">
        <f t="shared" si="7"/>
        <v/>
      </c>
      <c r="Q33" s="126"/>
    </row>
    <row r="34" spans="1:17" x14ac:dyDescent="0.2">
      <c r="A34" s="372">
        <v>32</v>
      </c>
      <c r="B34" s="373"/>
      <c r="C34" s="376"/>
      <c r="D34" s="375"/>
      <c r="E34" s="374"/>
      <c r="F34" s="157">
        <f t="shared" si="2"/>
        <v>0</v>
      </c>
      <c r="G34" s="279">
        <f t="shared" si="0"/>
        <v>1</v>
      </c>
      <c r="H34" s="91">
        <f t="shared" si="3"/>
        <v>0</v>
      </c>
      <c r="I34" s="92"/>
      <c r="J34" s="106" t="str">
        <f t="shared" si="4"/>
        <v/>
      </c>
      <c r="K34" s="122"/>
      <c r="L34" s="105">
        <f t="shared" si="5"/>
        <v>0</v>
      </c>
      <c r="M34" s="90">
        <f t="shared" si="1"/>
        <v>1</v>
      </c>
      <c r="N34" s="111">
        <f t="shared" si="6"/>
        <v>0</v>
      </c>
      <c r="O34" s="92"/>
      <c r="P34" s="106" t="str">
        <f t="shared" si="7"/>
        <v/>
      </c>
      <c r="Q34" s="126"/>
    </row>
    <row r="35" spans="1:17" x14ac:dyDescent="0.2">
      <c r="A35" s="372">
        <v>33</v>
      </c>
      <c r="B35" s="373"/>
      <c r="C35" s="376"/>
      <c r="D35" s="375"/>
      <c r="E35" s="374"/>
      <c r="F35" s="157">
        <f t="shared" si="2"/>
        <v>0</v>
      </c>
      <c r="G35" s="279">
        <f t="shared" si="0"/>
        <v>1</v>
      </c>
      <c r="H35" s="91">
        <f t="shared" si="3"/>
        <v>0</v>
      </c>
      <c r="I35" s="92"/>
      <c r="J35" s="106" t="str">
        <f t="shared" si="4"/>
        <v/>
      </c>
      <c r="K35" s="122"/>
      <c r="L35" s="105">
        <f t="shared" si="5"/>
        <v>0</v>
      </c>
      <c r="M35" s="90">
        <f t="shared" si="1"/>
        <v>1</v>
      </c>
      <c r="N35" s="111">
        <f t="shared" si="6"/>
        <v>0</v>
      </c>
      <c r="O35" s="92"/>
      <c r="P35" s="106" t="str">
        <f t="shared" si="7"/>
        <v/>
      </c>
      <c r="Q35" s="126"/>
    </row>
    <row r="36" spans="1:17" x14ac:dyDescent="0.2">
      <c r="A36" s="372">
        <v>34</v>
      </c>
      <c r="B36" s="373"/>
      <c r="C36" s="376"/>
      <c r="D36" s="375"/>
      <c r="E36" s="374"/>
      <c r="F36" s="157">
        <f t="shared" si="2"/>
        <v>0</v>
      </c>
      <c r="G36" s="279">
        <f t="shared" si="0"/>
        <v>1</v>
      </c>
      <c r="H36" s="91">
        <f t="shared" si="3"/>
        <v>0</v>
      </c>
      <c r="I36" s="92"/>
      <c r="J36" s="106" t="str">
        <f t="shared" si="4"/>
        <v/>
      </c>
      <c r="K36" s="122"/>
      <c r="L36" s="105">
        <f t="shared" si="5"/>
        <v>0</v>
      </c>
      <c r="M36" s="90">
        <f t="shared" si="1"/>
        <v>1</v>
      </c>
      <c r="N36" s="111">
        <f t="shared" si="6"/>
        <v>0</v>
      </c>
      <c r="O36" s="92"/>
      <c r="P36" s="106" t="str">
        <f t="shared" si="7"/>
        <v/>
      </c>
      <c r="Q36" s="126"/>
    </row>
    <row r="37" spans="1:17" x14ac:dyDescent="0.2">
      <c r="A37" s="372">
        <v>35</v>
      </c>
      <c r="B37" s="373"/>
      <c r="C37" s="376"/>
      <c r="D37" s="375"/>
      <c r="E37" s="374"/>
      <c r="F37" s="157">
        <f t="shared" si="2"/>
        <v>0</v>
      </c>
      <c r="G37" s="279">
        <f t="shared" si="0"/>
        <v>1</v>
      </c>
      <c r="H37" s="91">
        <f t="shared" si="3"/>
        <v>0</v>
      </c>
      <c r="I37" s="92"/>
      <c r="J37" s="106" t="str">
        <f t="shared" si="4"/>
        <v/>
      </c>
      <c r="K37" s="122"/>
      <c r="L37" s="105">
        <f t="shared" si="5"/>
        <v>0</v>
      </c>
      <c r="M37" s="90">
        <f t="shared" si="1"/>
        <v>1</v>
      </c>
      <c r="N37" s="111">
        <f t="shared" si="6"/>
        <v>0</v>
      </c>
      <c r="O37" s="92"/>
      <c r="P37" s="106" t="str">
        <f t="shared" si="7"/>
        <v/>
      </c>
      <c r="Q37" s="126"/>
    </row>
    <row r="38" spans="1:17" x14ac:dyDescent="0.2">
      <c r="A38" s="372">
        <v>36</v>
      </c>
      <c r="B38" s="373"/>
      <c r="C38" s="376"/>
      <c r="D38" s="375"/>
      <c r="E38" s="374"/>
      <c r="F38" s="157">
        <f t="shared" si="2"/>
        <v>0</v>
      </c>
      <c r="G38" s="279">
        <f t="shared" si="0"/>
        <v>1</v>
      </c>
      <c r="H38" s="91">
        <f t="shared" si="3"/>
        <v>0</v>
      </c>
      <c r="I38" s="92"/>
      <c r="J38" s="106" t="str">
        <f t="shared" si="4"/>
        <v/>
      </c>
      <c r="K38" s="122"/>
      <c r="L38" s="105">
        <f t="shared" si="5"/>
        <v>0</v>
      </c>
      <c r="M38" s="90">
        <f t="shared" si="1"/>
        <v>1</v>
      </c>
      <c r="N38" s="111">
        <f t="shared" si="6"/>
        <v>0</v>
      </c>
      <c r="O38" s="92"/>
      <c r="P38" s="106" t="str">
        <f t="shared" si="7"/>
        <v/>
      </c>
      <c r="Q38" s="126"/>
    </row>
    <row r="39" spans="1:17" x14ac:dyDescent="0.2">
      <c r="A39" s="372">
        <v>37</v>
      </c>
      <c r="B39" s="373"/>
      <c r="C39" s="376"/>
      <c r="D39" s="375"/>
      <c r="E39" s="374"/>
      <c r="F39" s="157">
        <f t="shared" si="2"/>
        <v>0</v>
      </c>
      <c r="G39" s="279">
        <f t="shared" si="0"/>
        <v>1</v>
      </c>
      <c r="H39" s="91">
        <f t="shared" si="3"/>
        <v>0</v>
      </c>
      <c r="I39" s="92"/>
      <c r="J39" s="106" t="str">
        <f t="shared" si="4"/>
        <v/>
      </c>
      <c r="K39" s="122"/>
      <c r="L39" s="105">
        <f t="shared" si="5"/>
        <v>0</v>
      </c>
      <c r="M39" s="90">
        <f t="shared" si="1"/>
        <v>1</v>
      </c>
      <c r="N39" s="111">
        <f t="shared" si="6"/>
        <v>0</v>
      </c>
      <c r="O39" s="92"/>
      <c r="P39" s="106" t="str">
        <f t="shared" si="7"/>
        <v/>
      </c>
      <c r="Q39" s="126"/>
    </row>
    <row r="40" spans="1:17" x14ac:dyDescent="0.2">
      <c r="A40" s="372">
        <v>38</v>
      </c>
      <c r="B40" s="373"/>
      <c r="C40" s="376"/>
      <c r="D40" s="375"/>
      <c r="E40" s="374"/>
      <c r="F40" s="157">
        <f t="shared" si="2"/>
        <v>0</v>
      </c>
      <c r="G40" s="279">
        <f t="shared" si="0"/>
        <v>1</v>
      </c>
      <c r="H40" s="91">
        <f t="shared" si="3"/>
        <v>0</v>
      </c>
      <c r="I40" s="92"/>
      <c r="J40" s="106" t="str">
        <f t="shared" si="4"/>
        <v/>
      </c>
      <c r="K40" s="122"/>
      <c r="L40" s="105">
        <f t="shared" si="5"/>
        <v>0</v>
      </c>
      <c r="M40" s="90">
        <f t="shared" si="1"/>
        <v>1</v>
      </c>
      <c r="N40" s="111">
        <f t="shared" si="6"/>
        <v>0</v>
      </c>
      <c r="O40" s="92"/>
      <c r="P40" s="106" t="str">
        <f t="shared" si="7"/>
        <v/>
      </c>
      <c r="Q40" s="126"/>
    </row>
    <row r="41" spans="1:17" x14ac:dyDescent="0.2">
      <c r="A41" s="372">
        <v>39</v>
      </c>
      <c r="B41" s="373"/>
      <c r="C41" s="376"/>
      <c r="D41" s="375"/>
      <c r="E41" s="374"/>
      <c r="F41" s="157">
        <f t="shared" si="2"/>
        <v>0</v>
      </c>
      <c r="G41" s="279">
        <f t="shared" si="0"/>
        <v>1</v>
      </c>
      <c r="H41" s="91">
        <f t="shared" si="3"/>
        <v>0</v>
      </c>
      <c r="I41" s="92"/>
      <c r="J41" s="106" t="str">
        <f t="shared" si="4"/>
        <v/>
      </c>
      <c r="K41" s="122"/>
      <c r="L41" s="105">
        <f t="shared" si="5"/>
        <v>0</v>
      </c>
      <c r="M41" s="90">
        <f t="shared" si="1"/>
        <v>1</v>
      </c>
      <c r="N41" s="111">
        <f t="shared" si="6"/>
        <v>0</v>
      </c>
      <c r="O41" s="92"/>
      <c r="P41" s="106" t="str">
        <f t="shared" si="7"/>
        <v/>
      </c>
      <c r="Q41" s="126"/>
    </row>
    <row r="42" spans="1:17" x14ac:dyDescent="0.2">
      <c r="A42" s="372">
        <v>40</v>
      </c>
      <c r="B42" s="373"/>
      <c r="C42" s="376"/>
      <c r="D42" s="375"/>
      <c r="E42" s="374"/>
      <c r="F42" s="157">
        <f t="shared" si="2"/>
        <v>0</v>
      </c>
      <c r="G42" s="279">
        <f t="shared" si="0"/>
        <v>1</v>
      </c>
      <c r="H42" s="91">
        <f t="shared" si="3"/>
        <v>0</v>
      </c>
      <c r="I42" s="92"/>
      <c r="J42" s="106" t="str">
        <f t="shared" si="4"/>
        <v/>
      </c>
      <c r="K42" s="122"/>
      <c r="L42" s="105">
        <f t="shared" si="5"/>
        <v>0</v>
      </c>
      <c r="M42" s="90">
        <f t="shared" si="1"/>
        <v>1</v>
      </c>
      <c r="N42" s="111">
        <f t="shared" si="6"/>
        <v>0</v>
      </c>
      <c r="O42" s="92"/>
      <c r="P42" s="106" t="str">
        <f t="shared" si="7"/>
        <v/>
      </c>
      <c r="Q42" s="126"/>
    </row>
    <row r="43" spans="1:17" ht="13.5" thickBot="1" x14ac:dyDescent="0.25">
      <c r="A43" s="487"/>
      <c r="B43" s="488" t="s">
        <v>4</v>
      </c>
      <c r="C43" s="489"/>
      <c r="D43" s="489"/>
      <c r="E43" s="490">
        <f>SUM(E3:E42)</f>
        <v>0</v>
      </c>
      <c r="F43" s="158"/>
      <c r="G43" s="107"/>
      <c r="H43" s="107">
        <f>SUM(H3:H42)</f>
        <v>0</v>
      </c>
      <c r="I43" s="108"/>
      <c r="J43" s="109"/>
      <c r="K43" s="123"/>
      <c r="L43" s="113"/>
      <c r="M43" s="112"/>
      <c r="N43" s="112">
        <f>SUM(N3:N42)</f>
        <v>0</v>
      </c>
      <c r="O43" s="114"/>
      <c r="P43" s="115"/>
      <c r="Q43" s="127"/>
    </row>
    <row r="56" spans="1:20" s="27" customFormat="1" ht="12.75" customHeight="1" x14ac:dyDescent="0.2">
      <c r="A56" s="597" t="s">
        <v>101</v>
      </c>
      <c r="B56" s="597"/>
      <c r="F56" s="15"/>
      <c r="G56" s="15"/>
      <c r="H56" s="15"/>
      <c r="I56" s="15"/>
      <c r="J56" s="15"/>
      <c r="K56" s="15"/>
      <c r="L56" s="369" t="s">
        <v>99</v>
      </c>
      <c r="M56" s="15"/>
      <c r="N56" s="15"/>
      <c r="O56" s="15"/>
      <c r="P56" s="15"/>
      <c r="Q56" s="15"/>
      <c r="R56" s="597" t="s">
        <v>99</v>
      </c>
      <c r="S56" s="597"/>
      <c r="T56" s="15"/>
    </row>
    <row r="57" spans="1:20" s="27" customFormat="1" ht="25.5" customHeight="1" x14ac:dyDescent="0.2">
      <c r="A57" s="83" t="s">
        <v>56</v>
      </c>
      <c r="B57" s="57" t="s">
        <v>13</v>
      </c>
      <c r="F57" s="15"/>
      <c r="G57" s="15"/>
      <c r="H57" s="15"/>
      <c r="I57" s="15"/>
      <c r="J57" s="15"/>
      <c r="K57" s="15"/>
      <c r="L57" s="56" t="s">
        <v>68</v>
      </c>
      <c r="M57" s="39"/>
      <c r="N57" s="15"/>
      <c r="O57" s="15"/>
      <c r="P57" s="15"/>
      <c r="Q57" s="15"/>
      <c r="R57" s="56" t="s">
        <v>68</v>
      </c>
      <c r="S57" s="57" t="s">
        <v>69</v>
      </c>
      <c r="T57" s="15"/>
    </row>
    <row r="58" spans="1:20" s="27" customFormat="1" ht="27" customHeight="1" x14ac:dyDescent="0.2">
      <c r="A58" s="58">
        <v>1</v>
      </c>
      <c r="B58" s="59" t="s">
        <v>57</v>
      </c>
      <c r="F58" s="15"/>
      <c r="G58" s="15"/>
      <c r="H58" s="15"/>
      <c r="I58" s="15"/>
      <c r="J58" s="15"/>
      <c r="K58" s="15"/>
      <c r="L58" s="58">
        <v>1</v>
      </c>
      <c r="M58" s="39"/>
      <c r="N58" s="15"/>
      <c r="O58" s="15"/>
      <c r="P58" s="15"/>
      <c r="Q58" s="15"/>
      <c r="R58" s="58">
        <v>1</v>
      </c>
      <c r="S58" s="84" t="s">
        <v>66</v>
      </c>
      <c r="T58" s="15"/>
    </row>
    <row r="59" spans="1:20" s="27" customFormat="1" ht="27" customHeight="1" x14ac:dyDescent="0.2">
      <c r="A59" s="58">
        <v>2</v>
      </c>
      <c r="B59" s="58" t="s">
        <v>58</v>
      </c>
      <c r="F59" s="15"/>
      <c r="G59" s="15"/>
      <c r="H59" s="15"/>
      <c r="I59" s="15"/>
      <c r="J59" s="15"/>
      <c r="K59" s="15"/>
      <c r="L59" s="58">
        <v>2</v>
      </c>
      <c r="M59" s="39"/>
      <c r="N59" s="15"/>
      <c r="O59" s="15"/>
      <c r="P59" s="15"/>
      <c r="Q59" s="15"/>
      <c r="R59" s="58">
        <v>2</v>
      </c>
      <c r="S59" s="84" t="s">
        <v>65</v>
      </c>
      <c r="T59" s="15"/>
    </row>
    <row r="60" spans="1:20" s="27" customFormat="1" ht="27" customHeight="1" x14ac:dyDescent="0.2">
      <c r="A60" s="58">
        <v>3</v>
      </c>
      <c r="B60" s="59" t="s">
        <v>59</v>
      </c>
      <c r="F60" s="15"/>
      <c r="G60" s="15"/>
      <c r="H60" s="15"/>
      <c r="I60" s="15"/>
      <c r="J60" s="15"/>
      <c r="K60" s="15"/>
      <c r="L60" s="58">
        <v>3</v>
      </c>
      <c r="M60" s="39"/>
      <c r="N60" s="15"/>
      <c r="O60" s="15"/>
      <c r="P60" s="15"/>
      <c r="Q60" s="15"/>
      <c r="R60" s="58">
        <v>3</v>
      </c>
      <c r="S60" s="84" t="s">
        <v>64</v>
      </c>
      <c r="T60" s="15"/>
    </row>
    <row r="61" spans="1:20" s="27" customFormat="1" ht="27" customHeight="1" x14ac:dyDescent="0.2">
      <c r="A61" s="58">
        <v>4</v>
      </c>
      <c r="B61" s="59" t="s">
        <v>60</v>
      </c>
      <c r="F61" s="15"/>
      <c r="G61" s="15"/>
      <c r="H61" s="15"/>
      <c r="I61" s="15"/>
      <c r="J61" s="15"/>
      <c r="K61" s="15"/>
      <c r="L61" s="58">
        <v>4</v>
      </c>
      <c r="M61" s="39"/>
      <c r="N61" s="15"/>
      <c r="O61" s="15"/>
      <c r="P61" s="15"/>
      <c r="Q61" s="15"/>
      <c r="R61" s="58">
        <v>4</v>
      </c>
      <c r="S61" s="84" t="s">
        <v>67</v>
      </c>
      <c r="T61" s="15"/>
    </row>
    <row r="62" spans="1:20" s="27" customFormat="1" ht="27" customHeight="1" x14ac:dyDescent="0.2">
      <c r="F62" s="15"/>
      <c r="G62" s="15"/>
      <c r="H62" s="15"/>
      <c r="I62" s="15"/>
      <c r="J62" s="15"/>
      <c r="K62" s="15"/>
      <c r="L62" s="58">
        <v>5</v>
      </c>
      <c r="M62" s="39"/>
      <c r="N62" s="15"/>
      <c r="O62" s="15"/>
      <c r="P62" s="15"/>
      <c r="Q62" s="15"/>
      <c r="R62" s="58">
        <v>5</v>
      </c>
      <c r="S62" s="84" t="s">
        <v>103</v>
      </c>
      <c r="T62" s="15"/>
    </row>
    <row r="63" spans="1:20" s="27" customFormat="1" x14ac:dyDescent="0.2">
      <c r="F63" s="15"/>
      <c r="G63" s="15"/>
      <c r="H63" s="15"/>
      <c r="I63" s="15"/>
      <c r="J63" s="15"/>
      <c r="K63" s="15"/>
      <c r="L63" s="58">
        <v>6</v>
      </c>
      <c r="M63" s="39"/>
      <c r="N63" s="15"/>
      <c r="O63" s="15"/>
      <c r="P63" s="15"/>
      <c r="Q63" s="15"/>
      <c r="R63" s="58">
        <v>6</v>
      </c>
      <c r="S63" s="84" t="s">
        <v>20</v>
      </c>
      <c r="T63" s="15"/>
    </row>
    <row r="64" spans="1:20" s="27" customFormat="1" x14ac:dyDescent="0.2"/>
    <row r="65" spans="1:1" s="27" customFormat="1" x14ac:dyDescent="0.2"/>
    <row r="66" spans="1:1" s="27" customFormat="1" x14ac:dyDescent="0.2"/>
    <row r="68" spans="1:1" x14ac:dyDescent="0.2">
      <c r="A68" s="460">
        <f>+'ראשי-פרטים כלליים וריכוז הוצאות'!C117</f>
        <v>1</v>
      </c>
    </row>
    <row r="69" spans="1:1" x14ac:dyDescent="0.2">
      <c r="A69">
        <f>VLOOKUP(+'ראשי-פרטים כלליים וריכוז הוצאות'!C117,'ראשי-פרטים כלליים וריכוז הוצאות'!$F$116:$L$130,7,0)</f>
        <v>0</v>
      </c>
    </row>
  </sheetData>
  <sheetProtection password="CAD0" sheet="1" objects="1" scenarios="1"/>
  <mergeCells count="7">
    <mergeCell ref="R56:S56"/>
    <mergeCell ref="A1:C1"/>
    <mergeCell ref="F1:G1"/>
    <mergeCell ref="H1:I1"/>
    <mergeCell ref="L1:M1"/>
    <mergeCell ref="N1:O1"/>
    <mergeCell ref="A56:B56"/>
  </mergeCells>
  <conditionalFormatting sqref="L3:L42">
    <cfRule type="cellIs" dxfId="12" priority="4" stopIfTrue="1" operator="notEqual">
      <formula>F3</formula>
    </cfRule>
  </conditionalFormatting>
  <conditionalFormatting sqref="H3:H42">
    <cfRule type="cellIs" dxfId="11" priority="5" stopIfTrue="1" operator="notEqual">
      <formula>E3</formula>
    </cfRule>
  </conditionalFormatting>
  <conditionalFormatting sqref="M3:M42 G3:G42">
    <cfRule type="cellIs" dxfId="10" priority="6" stopIfTrue="1" operator="notEqual">
      <formula>1-$J$1</formula>
    </cfRule>
  </conditionalFormatting>
  <conditionalFormatting sqref="F3:F42">
    <cfRule type="cellIs" dxfId="9" priority="7" stopIfTrue="1" operator="notEqual">
      <formula>#REF!</formula>
    </cfRule>
  </conditionalFormatting>
  <conditionalFormatting sqref="A2:XFD1048576">
    <cfRule type="expression" dxfId="8" priority="3" stopIfTrue="1">
      <formula>OR($A$69=0)</formula>
    </cfRule>
  </conditionalFormatting>
  <conditionalFormatting sqref="D1:Q1">
    <cfRule type="expression" dxfId="7" priority="2">
      <formula>OR($A$69=0)</formula>
    </cfRule>
  </conditionalFormatting>
  <conditionalFormatting sqref="A1:C1">
    <cfRule type="expression" dxfId="6" priority="1">
      <formula>$A$69 = 0</formula>
    </cfRule>
  </conditionalFormatting>
  <dataValidations xWindow="974" yWindow="457" count="4">
    <dataValidation type="decimal" allowBlank="1" showInputMessage="1" showErrorMessage="1" errorTitle="תא מחושב בנוסחה" error="תא זה מחושב בנוסחה:_x000a_ בידך לשנות את שלושת העמודות מימין וע&quot;י כך לקבוע את הסכום המומלץ._x000a__x000a_על מנת להחזיר המצב לקדמותו, נא הקישו על ביטול_x000a_" promptTitle="תא מחושב בנוסחה" prompt="אין להקליד נתונים בעמודה זו" sqref="H3:H42">
      <formula1>F3*G3</formula1>
      <formula2>F3*G3</formula2>
    </dataValidation>
    <dataValidation type="list" allowBlank="1" showErrorMessage="1" error="הצעת מחיר, _x000a_חוזה, _x000a_מחירון, _x000a_אמדן." promptTitle=" נא להקיש קוד עלות:" prompt="הצעת מחיר._x000a_חוזה._x000a_מחירון.   _x000a_ אמדן" sqref="D3:D42">
      <formula1>$B$58:$B$61</formula1>
    </dataValidation>
    <dataValidation type="list" allowBlank="1" showInputMessage="1" showErrorMessage="1" errorTitle="בודק מקצועי: נא בחר קוד נימוק" error="במידה והינך מעוניין בנימוק אחר, הקש 6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קיצוץ אחיד_x000a_6.  אחר (נא פרט בעמודה משמאל)_x000a_" sqref="I3:I42">
      <formula1>$L$58:$L$63</formula1>
    </dataValidation>
    <dataValidation type="list" allowBlank="1" showInputMessage="1" showErrorMessage="1" errorTitle="בודק מקצועי: נא בחר קוד נימוק" error="במידה והינך מעוניין בנימוק אחר, הקש 6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קיצוץ אחיד_x000a_6.  אחר (נא פרט בעמודה משמאל)_x000a_" sqref="O3:O42">
      <formula1>$L$58:$L$63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59999389629810485"/>
  </sheetPr>
  <dimension ref="A1:U85"/>
  <sheetViews>
    <sheetView rightToLeft="1" workbookViewId="0">
      <selection activeCell="J18" sqref="J18"/>
    </sheetView>
  </sheetViews>
  <sheetFormatPr defaultRowHeight="12.75" outlineLevelCol="1" x14ac:dyDescent="0.2"/>
  <cols>
    <col min="6" max="6" width="11.85546875" bestFit="1" customWidth="1"/>
    <col min="8" max="13" width="9.140625" hidden="1" customWidth="1" outlineLevel="1"/>
    <col min="14" max="14" width="9.140625" customWidth="1" collapsed="1"/>
    <col min="15" max="20" width="9.140625" hidden="1" customWidth="1" outlineLevel="1"/>
    <col min="21" max="21" width="9.140625" customWidth="1" collapsed="1"/>
  </cols>
  <sheetData>
    <row r="1" spans="1:21" ht="60.75" customHeight="1" thickBot="1" x14ac:dyDescent="0.3">
      <c r="A1" s="598" t="s">
        <v>238</v>
      </c>
      <c r="B1" s="599"/>
      <c r="C1" s="599"/>
      <c r="D1" s="463"/>
      <c r="E1" s="33" t="s">
        <v>32</v>
      </c>
      <c r="F1" s="102">
        <f>'[1]ראשי-פרטים כלליים וריכוז הוצאות'!F5</f>
        <v>0</v>
      </c>
      <c r="G1" s="130"/>
      <c r="H1" s="602" t="s">
        <v>235</v>
      </c>
      <c r="I1" s="603"/>
      <c r="J1" s="604"/>
      <c r="K1" s="595" t="s">
        <v>142</v>
      </c>
      <c r="L1" s="596"/>
      <c r="M1" s="267"/>
      <c r="N1" s="462" t="s">
        <v>72</v>
      </c>
      <c r="O1" s="605" t="s">
        <v>250</v>
      </c>
      <c r="P1" s="606"/>
      <c r="Q1" s="607"/>
      <c r="R1" s="600" t="s">
        <v>104</v>
      </c>
      <c r="S1" s="601"/>
      <c r="T1" s="118"/>
      <c r="U1" s="461" t="s">
        <v>221</v>
      </c>
    </row>
    <row r="2" spans="1:21" ht="63.75" x14ac:dyDescent="0.2">
      <c r="A2" s="35" t="s">
        <v>236</v>
      </c>
      <c r="B2" s="35" t="s">
        <v>79</v>
      </c>
      <c r="C2" s="35" t="s">
        <v>237</v>
      </c>
      <c r="D2" s="35" t="s">
        <v>61</v>
      </c>
      <c r="E2" s="35" t="s">
        <v>62</v>
      </c>
      <c r="F2" s="35" t="s">
        <v>100</v>
      </c>
      <c r="G2" s="140" t="s">
        <v>63</v>
      </c>
      <c r="H2" s="156" t="s">
        <v>70</v>
      </c>
      <c r="I2" s="68" t="s">
        <v>62</v>
      </c>
      <c r="J2" s="68" t="s">
        <v>73</v>
      </c>
      <c r="K2" s="68" t="s">
        <v>71</v>
      </c>
      <c r="L2" s="68" t="s">
        <v>152</v>
      </c>
      <c r="M2" s="116" t="s">
        <v>24</v>
      </c>
      <c r="N2" s="121"/>
      <c r="O2" s="119" t="s">
        <v>70</v>
      </c>
      <c r="P2" s="110" t="s">
        <v>62</v>
      </c>
      <c r="Q2" s="110" t="s">
        <v>73</v>
      </c>
      <c r="R2" s="110" t="s">
        <v>102</v>
      </c>
      <c r="S2" s="110" t="s">
        <v>98</v>
      </c>
      <c r="T2" s="117" t="s">
        <v>24</v>
      </c>
      <c r="U2" s="125"/>
    </row>
    <row r="3" spans="1:21" x14ac:dyDescent="0.2">
      <c r="A3" s="372">
        <v>1</v>
      </c>
      <c r="B3" s="373"/>
      <c r="C3" s="464"/>
      <c r="D3" s="465"/>
      <c r="E3" s="465"/>
      <c r="F3" s="375"/>
      <c r="G3" s="380">
        <f>E3*D3</f>
        <v>0</v>
      </c>
      <c r="H3" s="157">
        <f t="shared" ref="H3:I42" si="0">D3</f>
        <v>0</v>
      </c>
      <c r="I3" s="64">
        <f t="shared" si="0"/>
        <v>0</v>
      </c>
      <c r="J3" s="279">
        <f t="shared" ref="J3:J42" si="1">IF($M$1&gt;0,1-$M$1,100%)</f>
        <v>1</v>
      </c>
      <c r="K3" s="91">
        <f>H3*I3*J3</f>
        <v>0</v>
      </c>
      <c r="L3" s="92"/>
      <c r="M3" s="106" t="str">
        <f t="shared" ref="M3:M42" si="2">IF(L3&gt;0,(VLOOKUP(L3,$L$50:$M$55,2,0)),"")</f>
        <v/>
      </c>
      <c r="N3" s="122"/>
      <c r="O3" s="105">
        <f>D3</f>
        <v>0</v>
      </c>
      <c r="P3" s="63">
        <f>E3</f>
        <v>0</v>
      </c>
      <c r="Q3" s="90">
        <f t="shared" ref="Q3:Q42" si="3">IF($T$1&gt;0,((1-$T$1)*(1-$M$1)),J3)</f>
        <v>1</v>
      </c>
      <c r="R3" s="111">
        <f>O3*P3*Q3</f>
        <v>0</v>
      </c>
      <c r="S3" s="92"/>
      <c r="T3" s="106" t="str">
        <f t="shared" ref="T3:T42" si="4">IF(S3&gt;0,(VLOOKUP(S3,$L$50:$M$55,2,0)),"")</f>
        <v/>
      </c>
      <c r="U3" s="126"/>
    </row>
    <row r="4" spans="1:21" x14ac:dyDescent="0.2">
      <c r="A4" s="372">
        <v>2</v>
      </c>
      <c r="B4" s="373"/>
      <c r="C4" s="465"/>
      <c r="D4" s="465"/>
      <c r="E4" s="465"/>
      <c r="F4" s="375"/>
      <c r="G4" s="380">
        <f t="shared" ref="G4:G42" si="5">E4*D4</f>
        <v>0</v>
      </c>
      <c r="H4" s="157">
        <f t="shared" si="0"/>
        <v>0</v>
      </c>
      <c r="I4" s="64">
        <f t="shared" si="0"/>
        <v>0</v>
      </c>
      <c r="J4" s="279">
        <f t="shared" si="1"/>
        <v>1</v>
      </c>
      <c r="K4" s="91">
        <f t="shared" ref="K4:K42" si="6">H4*I4*J4</f>
        <v>0</v>
      </c>
      <c r="L4" s="92"/>
      <c r="M4" s="106" t="str">
        <f t="shared" si="2"/>
        <v/>
      </c>
      <c r="N4" s="122"/>
      <c r="O4" s="105">
        <f t="shared" ref="O4:P42" si="7">D4</f>
        <v>0</v>
      </c>
      <c r="P4" s="63">
        <f t="shared" si="7"/>
        <v>0</v>
      </c>
      <c r="Q4" s="90">
        <f t="shared" si="3"/>
        <v>1</v>
      </c>
      <c r="R4" s="111">
        <f t="shared" ref="R4:R42" si="8">O4*P4*Q4</f>
        <v>0</v>
      </c>
      <c r="S4" s="92"/>
      <c r="T4" s="106" t="str">
        <f t="shared" si="4"/>
        <v/>
      </c>
      <c r="U4" s="126"/>
    </row>
    <row r="5" spans="1:21" x14ac:dyDescent="0.2">
      <c r="A5" s="372">
        <v>3</v>
      </c>
      <c r="B5" s="373"/>
      <c r="C5" s="465"/>
      <c r="D5" s="465"/>
      <c r="E5" s="465"/>
      <c r="F5" s="375"/>
      <c r="G5" s="380">
        <f t="shared" si="5"/>
        <v>0</v>
      </c>
      <c r="H5" s="157">
        <f t="shared" si="0"/>
        <v>0</v>
      </c>
      <c r="I5" s="64">
        <f t="shared" si="0"/>
        <v>0</v>
      </c>
      <c r="J5" s="279">
        <f t="shared" si="1"/>
        <v>1</v>
      </c>
      <c r="K5" s="91">
        <f t="shared" si="6"/>
        <v>0</v>
      </c>
      <c r="L5" s="92"/>
      <c r="M5" s="106" t="str">
        <f t="shared" si="2"/>
        <v/>
      </c>
      <c r="N5" s="122"/>
      <c r="O5" s="105">
        <f t="shared" si="7"/>
        <v>0</v>
      </c>
      <c r="P5" s="63">
        <f t="shared" si="7"/>
        <v>0</v>
      </c>
      <c r="Q5" s="90">
        <f t="shared" si="3"/>
        <v>1</v>
      </c>
      <c r="R5" s="111">
        <f t="shared" si="8"/>
        <v>0</v>
      </c>
      <c r="S5" s="92"/>
      <c r="T5" s="106" t="str">
        <f t="shared" si="4"/>
        <v/>
      </c>
      <c r="U5" s="126"/>
    </row>
    <row r="6" spans="1:21" x14ac:dyDescent="0.2">
      <c r="A6" s="372">
        <v>4</v>
      </c>
      <c r="B6" s="373"/>
      <c r="C6" s="465"/>
      <c r="D6" s="465"/>
      <c r="E6" s="465"/>
      <c r="F6" s="375"/>
      <c r="G6" s="380">
        <f t="shared" si="5"/>
        <v>0</v>
      </c>
      <c r="H6" s="157">
        <f t="shared" si="0"/>
        <v>0</v>
      </c>
      <c r="I6" s="64">
        <f t="shared" si="0"/>
        <v>0</v>
      </c>
      <c r="J6" s="279">
        <f t="shared" si="1"/>
        <v>1</v>
      </c>
      <c r="K6" s="91">
        <f t="shared" si="6"/>
        <v>0</v>
      </c>
      <c r="L6" s="92"/>
      <c r="M6" s="106" t="str">
        <f t="shared" si="2"/>
        <v/>
      </c>
      <c r="N6" s="122"/>
      <c r="O6" s="105">
        <f t="shared" si="7"/>
        <v>0</v>
      </c>
      <c r="P6" s="63">
        <f t="shared" si="7"/>
        <v>0</v>
      </c>
      <c r="Q6" s="90">
        <f t="shared" si="3"/>
        <v>1</v>
      </c>
      <c r="R6" s="111">
        <f t="shared" si="8"/>
        <v>0</v>
      </c>
      <c r="S6" s="92"/>
      <c r="T6" s="106" t="str">
        <f t="shared" si="4"/>
        <v/>
      </c>
      <c r="U6" s="126"/>
    </row>
    <row r="7" spans="1:21" x14ac:dyDescent="0.2">
      <c r="A7" s="372">
        <v>5</v>
      </c>
      <c r="B7" s="373"/>
      <c r="C7" s="465"/>
      <c r="D7" s="465"/>
      <c r="E7" s="465"/>
      <c r="F7" s="375"/>
      <c r="G7" s="380">
        <f t="shared" si="5"/>
        <v>0</v>
      </c>
      <c r="H7" s="157">
        <f t="shared" si="0"/>
        <v>0</v>
      </c>
      <c r="I7" s="64">
        <f t="shared" si="0"/>
        <v>0</v>
      </c>
      <c r="J7" s="279">
        <f t="shared" si="1"/>
        <v>1</v>
      </c>
      <c r="K7" s="91">
        <f t="shared" si="6"/>
        <v>0</v>
      </c>
      <c r="L7" s="92"/>
      <c r="M7" s="106" t="str">
        <f t="shared" si="2"/>
        <v/>
      </c>
      <c r="N7" s="122"/>
      <c r="O7" s="105">
        <f t="shared" si="7"/>
        <v>0</v>
      </c>
      <c r="P7" s="63">
        <f t="shared" si="7"/>
        <v>0</v>
      </c>
      <c r="Q7" s="90">
        <f t="shared" si="3"/>
        <v>1</v>
      </c>
      <c r="R7" s="111">
        <f t="shared" si="8"/>
        <v>0</v>
      </c>
      <c r="S7" s="92"/>
      <c r="T7" s="106" t="str">
        <f t="shared" si="4"/>
        <v/>
      </c>
      <c r="U7" s="126"/>
    </row>
    <row r="8" spans="1:21" x14ac:dyDescent="0.2">
      <c r="A8" s="372">
        <v>6</v>
      </c>
      <c r="B8" s="373"/>
      <c r="C8" s="465"/>
      <c r="D8" s="465"/>
      <c r="E8" s="465"/>
      <c r="F8" s="375"/>
      <c r="G8" s="380">
        <f t="shared" si="5"/>
        <v>0</v>
      </c>
      <c r="H8" s="157">
        <f t="shared" si="0"/>
        <v>0</v>
      </c>
      <c r="I8" s="64">
        <f t="shared" si="0"/>
        <v>0</v>
      </c>
      <c r="J8" s="279">
        <f t="shared" si="1"/>
        <v>1</v>
      </c>
      <c r="K8" s="91">
        <f t="shared" si="6"/>
        <v>0</v>
      </c>
      <c r="L8" s="92"/>
      <c r="M8" s="106" t="str">
        <f t="shared" si="2"/>
        <v/>
      </c>
      <c r="N8" s="122"/>
      <c r="O8" s="105">
        <f t="shared" si="7"/>
        <v>0</v>
      </c>
      <c r="P8" s="63">
        <f t="shared" si="7"/>
        <v>0</v>
      </c>
      <c r="Q8" s="90">
        <f t="shared" si="3"/>
        <v>1</v>
      </c>
      <c r="R8" s="111">
        <f t="shared" si="8"/>
        <v>0</v>
      </c>
      <c r="S8" s="92"/>
      <c r="T8" s="106" t="str">
        <f t="shared" si="4"/>
        <v/>
      </c>
      <c r="U8" s="126"/>
    </row>
    <row r="9" spans="1:21" x14ac:dyDescent="0.2">
      <c r="A9" s="372">
        <v>7</v>
      </c>
      <c r="B9" s="373"/>
      <c r="C9" s="465"/>
      <c r="D9" s="465"/>
      <c r="E9" s="465"/>
      <c r="F9" s="375"/>
      <c r="G9" s="380">
        <f t="shared" si="5"/>
        <v>0</v>
      </c>
      <c r="H9" s="157">
        <f t="shared" si="0"/>
        <v>0</v>
      </c>
      <c r="I9" s="64">
        <f t="shared" si="0"/>
        <v>0</v>
      </c>
      <c r="J9" s="279">
        <f t="shared" si="1"/>
        <v>1</v>
      </c>
      <c r="K9" s="91">
        <f t="shared" si="6"/>
        <v>0</v>
      </c>
      <c r="L9" s="92"/>
      <c r="M9" s="106" t="str">
        <f t="shared" si="2"/>
        <v/>
      </c>
      <c r="N9" s="122"/>
      <c r="O9" s="105">
        <f t="shared" si="7"/>
        <v>0</v>
      </c>
      <c r="P9" s="63">
        <f t="shared" si="7"/>
        <v>0</v>
      </c>
      <c r="Q9" s="90">
        <f t="shared" si="3"/>
        <v>1</v>
      </c>
      <c r="R9" s="111">
        <f t="shared" si="8"/>
        <v>0</v>
      </c>
      <c r="S9" s="92"/>
      <c r="T9" s="106" t="str">
        <f t="shared" si="4"/>
        <v/>
      </c>
      <c r="U9" s="126"/>
    </row>
    <row r="10" spans="1:21" x14ac:dyDescent="0.2">
      <c r="A10" s="372">
        <v>8</v>
      </c>
      <c r="B10" s="373"/>
      <c r="C10" s="465"/>
      <c r="D10" s="465"/>
      <c r="E10" s="465"/>
      <c r="F10" s="375"/>
      <c r="G10" s="380">
        <f t="shared" si="5"/>
        <v>0</v>
      </c>
      <c r="H10" s="157">
        <f t="shared" si="0"/>
        <v>0</v>
      </c>
      <c r="I10" s="64">
        <f t="shared" si="0"/>
        <v>0</v>
      </c>
      <c r="J10" s="279">
        <f t="shared" si="1"/>
        <v>1</v>
      </c>
      <c r="K10" s="91">
        <f t="shared" si="6"/>
        <v>0</v>
      </c>
      <c r="L10" s="92"/>
      <c r="M10" s="106" t="str">
        <f t="shared" si="2"/>
        <v/>
      </c>
      <c r="N10" s="122"/>
      <c r="O10" s="105">
        <f t="shared" si="7"/>
        <v>0</v>
      </c>
      <c r="P10" s="63">
        <f t="shared" si="7"/>
        <v>0</v>
      </c>
      <c r="Q10" s="90">
        <f t="shared" si="3"/>
        <v>1</v>
      </c>
      <c r="R10" s="111">
        <f t="shared" si="8"/>
        <v>0</v>
      </c>
      <c r="S10" s="92"/>
      <c r="T10" s="106" t="str">
        <f t="shared" si="4"/>
        <v/>
      </c>
      <c r="U10" s="126"/>
    </row>
    <row r="11" spans="1:21" x14ac:dyDescent="0.2">
      <c r="A11" s="372">
        <v>9</v>
      </c>
      <c r="B11" s="373"/>
      <c r="C11" s="465"/>
      <c r="D11" s="465"/>
      <c r="E11" s="465"/>
      <c r="F11" s="375"/>
      <c r="G11" s="380">
        <f t="shared" si="5"/>
        <v>0</v>
      </c>
      <c r="H11" s="157">
        <f t="shared" si="0"/>
        <v>0</v>
      </c>
      <c r="I11" s="64">
        <f t="shared" si="0"/>
        <v>0</v>
      </c>
      <c r="J11" s="279">
        <f t="shared" si="1"/>
        <v>1</v>
      </c>
      <c r="K11" s="91">
        <f t="shared" si="6"/>
        <v>0</v>
      </c>
      <c r="L11" s="92"/>
      <c r="M11" s="106" t="str">
        <f t="shared" si="2"/>
        <v/>
      </c>
      <c r="N11" s="122"/>
      <c r="O11" s="105">
        <f t="shared" si="7"/>
        <v>0</v>
      </c>
      <c r="P11" s="63">
        <f t="shared" si="7"/>
        <v>0</v>
      </c>
      <c r="Q11" s="90">
        <f t="shared" si="3"/>
        <v>1</v>
      </c>
      <c r="R11" s="111">
        <f t="shared" si="8"/>
        <v>0</v>
      </c>
      <c r="S11" s="92"/>
      <c r="T11" s="106" t="str">
        <f t="shared" si="4"/>
        <v/>
      </c>
      <c r="U11" s="126"/>
    </row>
    <row r="12" spans="1:21" x14ac:dyDescent="0.2">
      <c r="A12" s="372">
        <v>10</v>
      </c>
      <c r="B12" s="373"/>
      <c r="C12" s="465"/>
      <c r="D12" s="465"/>
      <c r="E12" s="465"/>
      <c r="F12" s="375"/>
      <c r="G12" s="380">
        <f t="shared" si="5"/>
        <v>0</v>
      </c>
      <c r="H12" s="157">
        <f t="shared" si="0"/>
        <v>0</v>
      </c>
      <c r="I12" s="64">
        <f t="shared" si="0"/>
        <v>0</v>
      </c>
      <c r="J12" s="279">
        <f t="shared" si="1"/>
        <v>1</v>
      </c>
      <c r="K12" s="91">
        <f t="shared" si="6"/>
        <v>0</v>
      </c>
      <c r="L12" s="92"/>
      <c r="M12" s="106" t="str">
        <f t="shared" si="2"/>
        <v/>
      </c>
      <c r="N12" s="122"/>
      <c r="O12" s="105">
        <f t="shared" si="7"/>
        <v>0</v>
      </c>
      <c r="P12" s="63">
        <f t="shared" si="7"/>
        <v>0</v>
      </c>
      <c r="Q12" s="90">
        <f t="shared" si="3"/>
        <v>1</v>
      </c>
      <c r="R12" s="111">
        <f t="shared" si="8"/>
        <v>0</v>
      </c>
      <c r="S12" s="92"/>
      <c r="T12" s="106" t="str">
        <f t="shared" si="4"/>
        <v/>
      </c>
      <c r="U12" s="126"/>
    </row>
    <row r="13" spans="1:21" x14ac:dyDescent="0.2">
      <c r="A13" s="372">
        <v>11</v>
      </c>
      <c r="B13" s="373"/>
      <c r="C13" s="465"/>
      <c r="D13" s="465"/>
      <c r="E13" s="465"/>
      <c r="F13" s="375"/>
      <c r="G13" s="380">
        <f t="shared" si="5"/>
        <v>0</v>
      </c>
      <c r="H13" s="157">
        <f t="shared" si="0"/>
        <v>0</v>
      </c>
      <c r="I13" s="64">
        <f t="shared" si="0"/>
        <v>0</v>
      </c>
      <c r="J13" s="279">
        <f t="shared" si="1"/>
        <v>1</v>
      </c>
      <c r="K13" s="91">
        <f t="shared" si="6"/>
        <v>0</v>
      </c>
      <c r="L13" s="92"/>
      <c r="M13" s="106" t="str">
        <f t="shared" si="2"/>
        <v/>
      </c>
      <c r="N13" s="122"/>
      <c r="O13" s="105">
        <f t="shared" si="7"/>
        <v>0</v>
      </c>
      <c r="P13" s="63">
        <f t="shared" si="7"/>
        <v>0</v>
      </c>
      <c r="Q13" s="90">
        <f t="shared" si="3"/>
        <v>1</v>
      </c>
      <c r="R13" s="111">
        <f t="shared" si="8"/>
        <v>0</v>
      </c>
      <c r="S13" s="92"/>
      <c r="T13" s="106" t="str">
        <f t="shared" si="4"/>
        <v/>
      </c>
      <c r="U13" s="126"/>
    </row>
    <row r="14" spans="1:21" x14ac:dyDescent="0.2">
      <c r="A14" s="372">
        <v>12</v>
      </c>
      <c r="B14" s="373"/>
      <c r="C14" s="465"/>
      <c r="D14" s="465"/>
      <c r="E14" s="465"/>
      <c r="F14" s="375"/>
      <c r="G14" s="380">
        <f t="shared" si="5"/>
        <v>0</v>
      </c>
      <c r="H14" s="157">
        <f t="shared" si="0"/>
        <v>0</v>
      </c>
      <c r="I14" s="64">
        <f t="shared" si="0"/>
        <v>0</v>
      </c>
      <c r="J14" s="279">
        <f t="shared" si="1"/>
        <v>1</v>
      </c>
      <c r="K14" s="91">
        <f t="shared" si="6"/>
        <v>0</v>
      </c>
      <c r="L14" s="92"/>
      <c r="M14" s="106" t="str">
        <f t="shared" si="2"/>
        <v/>
      </c>
      <c r="N14" s="122"/>
      <c r="O14" s="105">
        <f t="shared" si="7"/>
        <v>0</v>
      </c>
      <c r="P14" s="63">
        <f t="shared" si="7"/>
        <v>0</v>
      </c>
      <c r="Q14" s="90">
        <f t="shared" si="3"/>
        <v>1</v>
      </c>
      <c r="R14" s="111">
        <f t="shared" si="8"/>
        <v>0</v>
      </c>
      <c r="S14" s="92"/>
      <c r="T14" s="106" t="str">
        <f t="shared" si="4"/>
        <v/>
      </c>
      <c r="U14" s="126"/>
    </row>
    <row r="15" spans="1:21" x14ac:dyDescent="0.2">
      <c r="A15" s="372">
        <v>13</v>
      </c>
      <c r="B15" s="373"/>
      <c r="C15" s="465"/>
      <c r="D15" s="465"/>
      <c r="E15" s="465"/>
      <c r="F15" s="375"/>
      <c r="G15" s="380">
        <f t="shared" si="5"/>
        <v>0</v>
      </c>
      <c r="H15" s="157">
        <f t="shared" si="0"/>
        <v>0</v>
      </c>
      <c r="I15" s="64">
        <f t="shared" si="0"/>
        <v>0</v>
      </c>
      <c r="J15" s="279">
        <f t="shared" si="1"/>
        <v>1</v>
      </c>
      <c r="K15" s="91">
        <f t="shared" si="6"/>
        <v>0</v>
      </c>
      <c r="L15" s="92"/>
      <c r="M15" s="106" t="str">
        <f t="shared" si="2"/>
        <v/>
      </c>
      <c r="N15" s="122"/>
      <c r="O15" s="105">
        <f t="shared" si="7"/>
        <v>0</v>
      </c>
      <c r="P15" s="63">
        <f t="shared" si="7"/>
        <v>0</v>
      </c>
      <c r="Q15" s="90">
        <f t="shared" si="3"/>
        <v>1</v>
      </c>
      <c r="R15" s="111">
        <f t="shared" si="8"/>
        <v>0</v>
      </c>
      <c r="S15" s="92"/>
      <c r="T15" s="106" t="str">
        <f t="shared" si="4"/>
        <v/>
      </c>
      <c r="U15" s="126"/>
    </row>
    <row r="16" spans="1:21" x14ac:dyDescent="0.2">
      <c r="A16" s="372">
        <v>14</v>
      </c>
      <c r="B16" s="373"/>
      <c r="C16" s="465"/>
      <c r="D16" s="465"/>
      <c r="E16" s="465"/>
      <c r="F16" s="375"/>
      <c r="G16" s="380">
        <f t="shared" si="5"/>
        <v>0</v>
      </c>
      <c r="H16" s="157">
        <f t="shared" si="0"/>
        <v>0</v>
      </c>
      <c r="I16" s="64">
        <f t="shared" si="0"/>
        <v>0</v>
      </c>
      <c r="J16" s="279">
        <f t="shared" si="1"/>
        <v>1</v>
      </c>
      <c r="K16" s="91">
        <f t="shared" si="6"/>
        <v>0</v>
      </c>
      <c r="L16" s="92"/>
      <c r="M16" s="106" t="str">
        <f t="shared" si="2"/>
        <v/>
      </c>
      <c r="N16" s="122"/>
      <c r="O16" s="105">
        <f t="shared" si="7"/>
        <v>0</v>
      </c>
      <c r="P16" s="63">
        <f t="shared" si="7"/>
        <v>0</v>
      </c>
      <c r="Q16" s="90">
        <f t="shared" si="3"/>
        <v>1</v>
      </c>
      <c r="R16" s="111">
        <f t="shared" si="8"/>
        <v>0</v>
      </c>
      <c r="S16" s="92"/>
      <c r="T16" s="106" t="str">
        <f t="shared" si="4"/>
        <v/>
      </c>
      <c r="U16" s="126"/>
    </row>
    <row r="17" spans="1:21" x14ac:dyDescent="0.2">
      <c r="A17" s="372">
        <v>15</v>
      </c>
      <c r="B17" s="373"/>
      <c r="C17" s="465"/>
      <c r="D17" s="465"/>
      <c r="E17" s="465"/>
      <c r="F17" s="375"/>
      <c r="G17" s="380">
        <f t="shared" si="5"/>
        <v>0</v>
      </c>
      <c r="H17" s="157">
        <f t="shared" si="0"/>
        <v>0</v>
      </c>
      <c r="I17" s="64">
        <f t="shared" si="0"/>
        <v>0</v>
      </c>
      <c r="J17" s="279">
        <f t="shared" si="1"/>
        <v>1</v>
      </c>
      <c r="K17" s="91">
        <f t="shared" si="6"/>
        <v>0</v>
      </c>
      <c r="L17" s="92"/>
      <c r="M17" s="106" t="str">
        <f t="shared" si="2"/>
        <v/>
      </c>
      <c r="N17" s="122"/>
      <c r="O17" s="105">
        <f t="shared" si="7"/>
        <v>0</v>
      </c>
      <c r="P17" s="63">
        <f t="shared" si="7"/>
        <v>0</v>
      </c>
      <c r="Q17" s="90">
        <f t="shared" si="3"/>
        <v>1</v>
      </c>
      <c r="R17" s="111">
        <f t="shared" si="8"/>
        <v>0</v>
      </c>
      <c r="S17" s="92"/>
      <c r="T17" s="106" t="str">
        <f t="shared" si="4"/>
        <v/>
      </c>
      <c r="U17" s="126"/>
    </row>
    <row r="18" spans="1:21" x14ac:dyDescent="0.2">
      <c r="A18" s="372">
        <v>16</v>
      </c>
      <c r="B18" s="373"/>
      <c r="C18" s="465"/>
      <c r="D18" s="465"/>
      <c r="E18" s="465"/>
      <c r="F18" s="375"/>
      <c r="G18" s="380">
        <f t="shared" si="5"/>
        <v>0</v>
      </c>
      <c r="H18" s="157">
        <f t="shared" si="0"/>
        <v>0</v>
      </c>
      <c r="I18" s="64">
        <f t="shared" si="0"/>
        <v>0</v>
      </c>
      <c r="J18" s="279">
        <f t="shared" si="1"/>
        <v>1</v>
      </c>
      <c r="K18" s="91">
        <f t="shared" si="6"/>
        <v>0</v>
      </c>
      <c r="L18" s="92"/>
      <c r="M18" s="106" t="str">
        <f t="shared" si="2"/>
        <v/>
      </c>
      <c r="N18" s="122"/>
      <c r="O18" s="105">
        <f t="shared" si="7"/>
        <v>0</v>
      </c>
      <c r="P18" s="63">
        <f t="shared" si="7"/>
        <v>0</v>
      </c>
      <c r="Q18" s="90">
        <f t="shared" si="3"/>
        <v>1</v>
      </c>
      <c r="R18" s="111">
        <f t="shared" si="8"/>
        <v>0</v>
      </c>
      <c r="S18" s="92"/>
      <c r="T18" s="106" t="str">
        <f t="shared" si="4"/>
        <v/>
      </c>
      <c r="U18" s="126"/>
    </row>
    <row r="19" spans="1:21" x14ac:dyDescent="0.2">
      <c r="A19" s="372">
        <v>17</v>
      </c>
      <c r="B19" s="373"/>
      <c r="C19" s="465"/>
      <c r="D19" s="465"/>
      <c r="E19" s="465"/>
      <c r="F19" s="375"/>
      <c r="G19" s="380">
        <f t="shared" si="5"/>
        <v>0</v>
      </c>
      <c r="H19" s="157">
        <f t="shared" si="0"/>
        <v>0</v>
      </c>
      <c r="I19" s="64">
        <f t="shared" si="0"/>
        <v>0</v>
      </c>
      <c r="J19" s="279">
        <f t="shared" si="1"/>
        <v>1</v>
      </c>
      <c r="K19" s="91">
        <f t="shared" si="6"/>
        <v>0</v>
      </c>
      <c r="L19" s="92"/>
      <c r="M19" s="106" t="str">
        <f t="shared" si="2"/>
        <v/>
      </c>
      <c r="N19" s="122"/>
      <c r="O19" s="105">
        <f t="shared" si="7"/>
        <v>0</v>
      </c>
      <c r="P19" s="63">
        <f t="shared" si="7"/>
        <v>0</v>
      </c>
      <c r="Q19" s="90">
        <f t="shared" si="3"/>
        <v>1</v>
      </c>
      <c r="R19" s="111">
        <f t="shared" si="8"/>
        <v>0</v>
      </c>
      <c r="S19" s="92"/>
      <c r="T19" s="106" t="str">
        <f t="shared" si="4"/>
        <v/>
      </c>
      <c r="U19" s="126"/>
    </row>
    <row r="20" spans="1:21" x14ac:dyDescent="0.2">
      <c r="A20" s="372">
        <v>18</v>
      </c>
      <c r="B20" s="373"/>
      <c r="C20" s="465"/>
      <c r="D20" s="465"/>
      <c r="E20" s="465"/>
      <c r="F20" s="375"/>
      <c r="G20" s="380">
        <f t="shared" si="5"/>
        <v>0</v>
      </c>
      <c r="H20" s="157">
        <f t="shared" si="0"/>
        <v>0</v>
      </c>
      <c r="I20" s="64">
        <f t="shared" si="0"/>
        <v>0</v>
      </c>
      <c r="J20" s="279">
        <f t="shared" si="1"/>
        <v>1</v>
      </c>
      <c r="K20" s="91">
        <f t="shared" si="6"/>
        <v>0</v>
      </c>
      <c r="L20" s="92"/>
      <c r="M20" s="106" t="str">
        <f t="shared" si="2"/>
        <v/>
      </c>
      <c r="N20" s="122"/>
      <c r="O20" s="105">
        <f t="shared" si="7"/>
        <v>0</v>
      </c>
      <c r="P20" s="63">
        <f t="shared" si="7"/>
        <v>0</v>
      </c>
      <c r="Q20" s="90">
        <f t="shared" si="3"/>
        <v>1</v>
      </c>
      <c r="R20" s="111">
        <f t="shared" si="8"/>
        <v>0</v>
      </c>
      <c r="S20" s="92"/>
      <c r="T20" s="106" t="str">
        <f t="shared" si="4"/>
        <v/>
      </c>
      <c r="U20" s="126"/>
    </row>
    <row r="21" spans="1:21" x14ac:dyDescent="0.2">
      <c r="A21" s="372">
        <v>19</v>
      </c>
      <c r="B21" s="373"/>
      <c r="C21" s="465"/>
      <c r="D21" s="465"/>
      <c r="E21" s="465"/>
      <c r="F21" s="375"/>
      <c r="G21" s="380">
        <f t="shared" si="5"/>
        <v>0</v>
      </c>
      <c r="H21" s="157">
        <f t="shared" si="0"/>
        <v>0</v>
      </c>
      <c r="I21" s="64">
        <f t="shared" si="0"/>
        <v>0</v>
      </c>
      <c r="J21" s="279">
        <f t="shared" si="1"/>
        <v>1</v>
      </c>
      <c r="K21" s="91"/>
      <c r="L21" s="92"/>
      <c r="M21" s="106" t="str">
        <f t="shared" si="2"/>
        <v/>
      </c>
      <c r="N21" s="122"/>
      <c r="O21" s="105">
        <f t="shared" si="7"/>
        <v>0</v>
      </c>
      <c r="P21" s="63">
        <f t="shared" si="7"/>
        <v>0</v>
      </c>
      <c r="Q21" s="90">
        <f t="shared" si="3"/>
        <v>1</v>
      </c>
      <c r="R21" s="111">
        <f t="shared" si="8"/>
        <v>0</v>
      </c>
      <c r="S21" s="92"/>
      <c r="T21" s="106" t="str">
        <f t="shared" si="4"/>
        <v/>
      </c>
      <c r="U21" s="126"/>
    </row>
    <row r="22" spans="1:21" x14ac:dyDescent="0.2">
      <c r="A22" s="372">
        <v>20</v>
      </c>
      <c r="B22" s="373"/>
      <c r="C22" s="465"/>
      <c r="D22" s="465"/>
      <c r="E22" s="465"/>
      <c r="F22" s="375"/>
      <c r="G22" s="380">
        <f t="shared" si="5"/>
        <v>0</v>
      </c>
      <c r="H22" s="157">
        <f t="shared" si="0"/>
        <v>0</v>
      </c>
      <c r="I22" s="64">
        <f t="shared" si="0"/>
        <v>0</v>
      </c>
      <c r="J22" s="279">
        <f t="shared" si="1"/>
        <v>1</v>
      </c>
      <c r="K22" s="91">
        <f t="shared" si="6"/>
        <v>0</v>
      </c>
      <c r="L22" s="92"/>
      <c r="M22" s="106" t="str">
        <f t="shared" si="2"/>
        <v/>
      </c>
      <c r="N22" s="122"/>
      <c r="O22" s="105">
        <f t="shared" si="7"/>
        <v>0</v>
      </c>
      <c r="P22" s="63">
        <f t="shared" si="7"/>
        <v>0</v>
      </c>
      <c r="Q22" s="90">
        <f t="shared" si="3"/>
        <v>1</v>
      </c>
      <c r="R22" s="111">
        <f t="shared" si="8"/>
        <v>0</v>
      </c>
      <c r="S22" s="92"/>
      <c r="T22" s="106" t="str">
        <f t="shared" si="4"/>
        <v/>
      </c>
      <c r="U22" s="126"/>
    </row>
    <row r="23" spans="1:21" x14ac:dyDescent="0.2">
      <c r="A23" s="372">
        <v>21</v>
      </c>
      <c r="B23" s="373"/>
      <c r="C23" s="465"/>
      <c r="D23" s="465"/>
      <c r="E23" s="465"/>
      <c r="F23" s="375"/>
      <c r="G23" s="380">
        <f t="shared" si="5"/>
        <v>0</v>
      </c>
      <c r="H23" s="157">
        <f t="shared" si="0"/>
        <v>0</v>
      </c>
      <c r="I23" s="64">
        <f t="shared" si="0"/>
        <v>0</v>
      </c>
      <c r="J23" s="279">
        <f t="shared" si="1"/>
        <v>1</v>
      </c>
      <c r="K23" s="91">
        <f t="shared" si="6"/>
        <v>0</v>
      </c>
      <c r="L23" s="92"/>
      <c r="M23" s="106" t="str">
        <f t="shared" si="2"/>
        <v/>
      </c>
      <c r="N23" s="122"/>
      <c r="O23" s="105">
        <f t="shared" si="7"/>
        <v>0</v>
      </c>
      <c r="P23" s="63">
        <f t="shared" si="7"/>
        <v>0</v>
      </c>
      <c r="Q23" s="90">
        <f t="shared" si="3"/>
        <v>1</v>
      </c>
      <c r="R23" s="111">
        <f t="shared" si="8"/>
        <v>0</v>
      </c>
      <c r="S23" s="92"/>
      <c r="T23" s="106" t="str">
        <f t="shared" si="4"/>
        <v/>
      </c>
      <c r="U23" s="126"/>
    </row>
    <row r="24" spans="1:21" x14ac:dyDescent="0.2">
      <c r="A24" s="372">
        <v>22</v>
      </c>
      <c r="B24" s="373"/>
      <c r="C24" s="465"/>
      <c r="D24" s="465"/>
      <c r="E24" s="465"/>
      <c r="F24" s="375"/>
      <c r="G24" s="380">
        <f t="shared" si="5"/>
        <v>0</v>
      </c>
      <c r="H24" s="157">
        <f t="shared" si="0"/>
        <v>0</v>
      </c>
      <c r="I24" s="64">
        <f t="shared" si="0"/>
        <v>0</v>
      </c>
      <c r="J24" s="279">
        <f t="shared" si="1"/>
        <v>1</v>
      </c>
      <c r="K24" s="91">
        <f t="shared" si="6"/>
        <v>0</v>
      </c>
      <c r="L24" s="92"/>
      <c r="M24" s="106" t="str">
        <f t="shared" si="2"/>
        <v/>
      </c>
      <c r="N24" s="122"/>
      <c r="O24" s="105">
        <f t="shared" si="7"/>
        <v>0</v>
      </c>
      <c r="P24" s="63">
        <f t="shared" si="7"/>
        <v>0</v>
      </c>
      <c r="Q24" s="90">
        <f t="shared" si="3"/>
        <v>1</v>
      </c>
      <c r="R24" s="111">
        <f t="shared" si="8"/>
        <v>0</v>
      </c>
      <c r="S24" s="92"/>
      <c r="T24" s="106" t="str">
        <f t="shared" si="4"/>
        <v/>
      </c>
      <c r="U24" s="126"/>
    </row>
    <row r="25" spans="1:21" x14ac:dyDescent="0.2">
      <c r="A25" s="372">
        <v>23</v>
      </c>
      <c r="B25" s="373"/>
      <c r="C25" s="465"/>
      <c r="D25" s="465"/>
      <c r="E25" s="465"/>
      <c r="F25" s="375"/>
      <c r="G25" s="380">
        <f t="shared" si="5"/>
        <v>0</v>
      </c>
      <c r="H25" s="157">
        <f t="shared" si="0"/>
        <v>0</v>
      </c>
      <c r="I25" s="64">
        <f t="shared" si="0"/>
        <v>0</v>
      </c>
      <c r="J25" s="279">
        <f t="shared" si="1"/>
        <v>1</v>
      </c>
      <c r="K25" s="91">
        <f t="shared" si="6"/>
        <v>0</v>
      </c>
      <c r="L25" s="92"/>
      <c r="M25" s="106" t="str">
        <f t="shared" si="2"/>
        <v/>
      </c>
      <c r="N25" s="122"/>
      <c r="O25" s="105">
        <f t="shared" si="7"/>
        <v>0</v>
      </c>
      <c r="P25" s="63">
        <f t="shared" si="7"/>
        <v>0</v>
      </c>
      <c r="Q25" s="90">
        <f t="shared" si="3"/>
        <v>1</v>
      </c>
      <c r="R25" s="111">
        <f t="shared" si="8"/>
        <v>0</v>
      </c>
      <c r="S25" s="92"/>
      <c r="T25" s="106" t="str">
        <f t="shared" si="4"/>
        <v/>
      </c>
      <c r="U25" s="126"/>
    </row>
    <row r="26" spans="1:21" x14ac:dyDescent="0.2">
      <c r="A26" s="372">
        <v>24</v>
      </c>
      <c r="B26" s="373"/>
      <c r="C26" s="465"/>
      <c r="D26" s="465"/>
      <c r="E26" s="465"/>
      <c r="F26" s="375"/>
      <c r="G26" s="380">
        <f t="shared" si="5"/>
        <v>0</v>
      </c>
      <c r="H26" s="157">
        <f t="shared" si="0"/>
        <v>0</v>
      </c>
      <c r="I26" s="64">
        <f t="shared" si="0"/>
        <v>0</v>
      </c>
      <c r="J26" s="279">
        <f t="shared" si="1"/>
        <v>1</v>
      </c>
      <c r="K26" s="91">
        <f t="shared" si="6"/>
        <v>0</v>
      </c>
      <c r="L26" s="92"/>
      <c r="M26" s="106" t="str">
        <f t="shared" si="2"/>
        <v/>
      </c>
      <c r="N26" s="122"/>
      <c r="O26" s="105">
        <f t="shared" si="7"/>
        <v>0</v>
      </c>
      <c r="P26" s="63">
        <f t="shared" si="7"/>
        <v>0</v>
      </c>
      <c r="Q26" s="90">
        <f t="shared" si="3"/>
        <v>1</v>
      </c>
      <c r="R26" s="111">
        <f t="shared" si="8"/>
        <v>0</v>
      </c>
      <c r="S26" s="92"/>
      <c r="T26" s="106" t="str">
        <f t="shared" si="4"/>
        <v/>
      </c>
      <c r="U26" s="126"/>
    </row>
    <row r="27" spans="1:21" x14ac:dyDescent="0.2">
      <c r="A27" s="372">
        <v>25</v>
      </c>
      <c r="B27" s="373"/>
      <c r="C27" s="465"/>
      <c r="D27" s="465"/>
      <c r="E27" s="465"/>
      <c r="F27" s="375"/>
      <c r="G27" s="380">
        <f t="shared" si="5"/>
        <v>0</v>
      </c>
      <c r="H27" s="157">
        <f t="shared" si="0"/>
        <v>0</v>
      </c>
      <c r="I27" s="64">
        <f t="shared" si="0"/>
        <v>0</v>
      </c>
      <c r="J27" s="279">
        <f t="shared" si="1"/>
        <v>1</v>
      </c>
      <c r="K27" s="91">
        <f t="shared" si="6"/>
        <v>0</v>
      </c>
      <c r="L27" s="92"/>
      <c r="M27" s="106" t="str">
        <f t="shared" si="2"/>
        <v/>
      </c>
      <c r="N27" s="122"/>
      <c r="O27" s="105">
        <f t="shared" si="7"/>
        <v>0</v>
      </c>
      <c r="P27" s="63">
        <f t="shared" si="7"/>
        <v>0</v>
      </c>
      <c r="Q27" s="90">
        <f t="shared" si="3"/>
        <v>1</v>
      </c>
      <c r="R27" s="111">
        <f t="shared" si="8"/>
        <v>0</v>
      </c>
      <c r="S27" s="92"/>
      <c r="T27" s="106" t="str">
        <f t="shared" si="4"/>
        <v/>
      </c>
      <c r="U27" s="126"/>
    </row>
    <row r="28" spans="1:21" x14ac:dyDescent="0.2">
      <c r="A28" s="372">
        <v>26</v>
      </c>
      <c r="B28" s="373"/>
      <c r="C28" s="465"/>
      <c r="D28" s="465"/>
      <c r="E28" s="465"/>
      <c r="F28" s="375"/>
      <c r="G28" s="380">
        <f t="shared" si="5"/>
        <v>0</v>
      </c>
      <c r="H28" s="157">
        <f t="shared" si="0"/>
        <v>0</v>
      </c>
      <c r="I28" s="64">
        <f t="shared" si="0"/>
        <v>0</v>
      </c>
      <c r="J28" s="279">
        <f t="shared" si="1"/>
        <v>1</v>
      </c>
      <c r="K28" s="91">
        <f t="shared" si="6"/>
        <v>0</v>
      </c>
      <c r="L28" s="92"/>
      <c r="M28" s="106" t="str">
        <f t="shared" si="2"/>
        <v/>
      </c>
      <c r="N28" s="122"/>
      <c r="O28" s="105">
        <f t="shared" si="7"/>
        <v>0</v>
      </c>
      <c r="P28" s="63">
        <f t="shared" si="7"/>
        <v>0</v>
      </c>
      <c r="Q28" s="90">
        <f t="shared" si="3"/>
        <v>1</v>
      </c>
      <c r="R28" s="111">
        <f t="shared" si="8"/>
        <v>0</v>
      </c>
      <c r="S28" s="92"/>
      <c r="T28" s="106" t="str">
        <f t="shared" si="4"/>
        <v/>
      </c>
      <c r="U28" s="126"/>
    </row>
    <row r="29" spans="1:21" x14ac:dyDescent="0.2">
      <c r="A29" s="372">
        <v>27</v>
      </c>
      <c r="B29" s="373"/>
      <c r="C29" s="465"/>
      <c r="D29" s="465"/>
      <c r="E29" s="465"/>
      <c r="F29" s="375"/>
      <c r="G29" s="380">
        <f t="shared" si="5"/>
        <v>0</v>
      </c>
      <c r="H29" s="157">
        <f t="shared" si="0"/>
        <v>0</v>
      </c>
      <c r="I29" s="64">
        <f t="shared" si="0"/>
        <v>0</v>
      </c>
      <c r="J29" s="279">
        <f t="shared" si="1"/>
        <v>1</v>
      </c>
      <c r="K29" s="91">
        <f t="shared" si="6"/>
        <v>0</v>
      </c>
      <c r="L29" s="92"/>
      <c r="M29" s="106" t="str">
        <f t="shared" si="2"/>
        <v/>
      </c>
      <c r="N29" s="122"/>
      <c r="O29" s="105">
        <f t="shared" si="7"/>
        <v>0</v>
      </c>
      <c r="P29" s="63">
        <f t="shared" si="7"/>
        <v>0</v>
      </c>
      <c r="Q29" s="90">
        <f t="shared" si="3"/>
        <v>1</v>
      </c>
      <c r="R29" s="111">
        <f t="shared" si="8"/>
        <v>0</v>
      </c>
      <c r="S29" s="92"/>
      <c r="T29" s="106" t="str">
        <f t="shared" si="4"/>
        <v/>
      </c>
      <c r="U29" s="126"/>
    </row>
    <row r="30" spans="1:21" x14ac:dyDescent="0.2">
      <c r="A30" s="372">
        <v>28</v>
      </c>
      <c r="B30" s="373"/>
      <c r="C30" s="465"/>
      <c r="D30" s="465"/>
      <c r="E30" s="465"/>
      <c r="F30" s="375"/>
      <c r="G30" s="380">
        <f t="shared" si="5"/>
        <v>0</v>
      </c>
      <c r="H30" s="157">
        <f t="shared" si="0"/>
        <v>0</v>
      </c>
      <c r="I30" s="64">
        <f t="shared" si="0"/>
        <v>0</v>
      </c>
      <c r="J30" s="279">
        <f t="shared" si="1"/>
        <v>1</v>
      </c>
      <c r="K30" s="91">
        <f t="shared" si="6"/>
        <v>0</v>
      </c>
      <c r="L30" s="92"/>
      <c r="M30" s="106" t="str">
        <f t="shared" si="2"/>
        <v/>
      </c>
      <c r="N30" s="122"/>
      <c r="O30" s="105">
        <f t="shared" si="7"/>
        <v>0</v>
      </c>
      <c r="P30" s="63">
        <f t="shared" si="7"/>
        <v>0</v>
      </c>
      <c r="Q30" s="90">
        <f t="shared" si="3"/>
        <v>1</v>
      </c>
      <c r="R30" s="111">
        <f t="shared" si="8"/>
        <v>0</v>
      </c>
      <c r="S30" s="92"/>
      <c r="T30" s="106" t="str">
        <f t="shared" si="4"/>
        <v/>
      </c>
      <c r="U30" s="126"/>
    </row>
    <row r="31" spans="1:21" x14ac:dyDescent="0.2">
      <c r="A31" s="372">
        <v>29</v>
      </c>
      <c r="B31" s="373"/>
      <c r="C31" s="464"/>
      <c r="D31" s="465"/>
      <c r="E31" s="465"/>
      <c r="F31" s="375"/>
      <c r="G31" s="380">
        <f t="shared" si="5"/>
        <v>0</v>
      </c>
      <c r="H31" s="157">
        <f t="shared" si="0"/>
        <v>0</v>
      </c>
      <c r="I31" s="64">
        <f t="shared" si="0"/>
        <v>0</v>
      </c>
      <c r="J31" s="279">
        <f t="shared" si="1"/>
        <v>1</v>
      </c>
      <c r="K31" s="91">
        <f t="shared" si="6"/>
        <v>0</v>
      </c>
      <c r="L31" s="92"/>
      <c r="M31" s="106" t="str">
        <f t="shared" si="2"/>
        <v/>
      </c>
      <c r="N31" s="122"/>
      <c r="O31" s="105">
        <f t="shared" si="7"/>
        <v>0</v>
      </c>
      <c r="P31" s="63">
        <f t="shared" si="7"/>
        <v>0</v>
      </c>
      <c r="Q31" s="90">
        <f t="shared" si="3"/>
        <v>1</v>
      </c>
      <c r="R31" s="111">
        <f t="shared" si="8"/>
        <v>0</v>
      </c>
      <c r="S31" s="92"/>
      <c r="T31" s="106" t="str">
        <f t="shared" si="4"/>
        <v/>
      </c>
      <c r="U31" s="126"/>
    </row>
    <row r="32" spans="1:21" x14ac:dyDescent="0.2">
      <c r="A32" s="372">
        <v>30</v>
      </c>
      <c r="B32" s="373"/>
      <c r="C32" s="465"/>
      <c r="D32" s="465"/>
      <c r="E32" s="465"/>
      <c r="F32" s="375"/>
      <c r="G32" s="380">
        <f t="shared" si="5"/>
        <v>0</v>
      </c>
      <c r="H32" s="157">
        <f t="shared" si="0"/>
        <v>0</v>
      </c>
      <c r="I32" s="64">
        <f t="shared" si="0"/>
        <v>0</v>
      </c>
      <c r="J32" s="279">
        <f t="shared" si="1"/>
        <v>1</v>
      </c>
      <c r="K32" s="91">
        <f t="shared" si="6"/>
        <v>0</v>
      </c>
      <c r="L32" s="92"/>
      <c r="M32" s="106" t="str">
        <f t="shared" si="2"/>
        <v/>
      </c>
      <c r="N32" s="122"/>
      <c r="O32" s="105">
        <f t="shared" si="7"/>
        <v>0</v>
      </c>
      <c r="P32" s="63">
        <f t="shared" si="7"/>
        <v>0</v>
      </c>
      <c r="Q32" s="90">
        <f t="shared" si="3"/>
        <v>1</v>
      </c>
      <c r="R32" s="111">
        <f t="shared" si="8"/>
        <v>0</v>
      </c>
      <c r="S32" s="92"/>
      <c r="T32" s="106" t="str">
        <f t="shared" si="4"/>
        <v/>
      </c>
      <c r="U32" s="126"/>
    </row>
    <row r="33" spans="1:21" x14ac:dyDescent="0.2">
      <c r="A33" s="372">
        <v>31</v>
      </c>
      <c r="B33" s="373"/>
      <c r="C33" s="465"/>
      <c r="D33" s="465"/>
      <c r="E33" s="465"/>
      <c r="F33" s="375"/>
      <c r="G33" s="380">
        <f t="shared" si="5"/>
        <v>0</v>
      </c>
      <c r="H33" s="157">
        <f t="shared" si="0"/>
        <v>0</v>
      </c>
      <c r="I33" s="64">
        <f t="shared" si="0"/>
        <v>0</v>
      </c>
      <c r="J33" s="279">
        <f t="shared" si="1"/>
        <v>1</v>
      </c>
      <c r="K33" s="91">
        <f t="shared" si="6"/>
        <v>0</v>
      </c>
      <c r="L33" s="92"/>
      <c r="M33" s="106" t="str">
        <f t="shared" si="2"/>
        <v/>
      </c>
      <c r="N33" s="122"/>
      <c r="O33" s="105">
        <f t="shared" si="7"/>
        <v>0</v>
      </c>
      <c r="P33" s="63">
        <f t="shared" si="7"/>
        <v>0</v>
      </c>
      <c r="Q33" s="90">
        <f t="shared" si="3"/>
        <v>1</v>
      </c>
      <c r="R33" s="111">
        <f t="shared" si="8"/>
        <v>0</v>
      </c>
      <c r="S33" s="92"/>
      <c r="T33" s="106" t="str">
        <f t="shared" si="4"/>
        <v/>
      </c>
      <c r="U33" s="126"/>
    </row>
    <row r="34" spans="1:21" x14ac:dyDescent="0.2">
      <c r="A34" s="372">
        <v>32</v>
      </c>
      <c r="B34" s="373"/>
      <c r="C34" s="465"/>
      <c r="D34" s="465"/>
      <c r="E34" s="465"/>
      <c r="F34" s="375"/>
      <c r="G34" s="380">
        <f t="shared" si="5"/>
        <v>0</v>
      </c>
      <c r="H34" s="157">
        <f t="shared" si="0"/>
        <v>0</v>
      </c>
      <c r="I34" s="64">
        <f t="shared" si="0"/>
        <v>0</v>
      </c>
      <c r="J34" s="279">
        <f t="shared" si="1"/>
        <v>1</v>
      </c>
      <c r="K34" s="91">
        <f t="shared" si="6"/>
        <v>0</v>
      </c>
      <c r="L34" s="92"/>
      <c r="M34" s="106" t="str">
        <f t="shared" si="2"/>
        <v/>
      </c>
      <c r="N34" s="122"/>
      <c r="O34" s="105">
        <f t="shared" si="7"/>
        <v>0</v>
      </c>
      <c r="P34" s="63">
        <f t="shared" si="7"/>
        <v>0</v>
      </c>
      <c r="Q34" s="90">
        <f t="shared" si="3"/>
        <v>1</v>
      </c>
      <c r="R34" s="111">
        <f t="shared" si="8"/>
        <v>0</v>
      </c>
      <c r="S34" s="92"/>
      <c r="T34" s="106" t="str">
        <f t="shared" si="4"/>
        <v/>
      </c>
      <c r="U34" s="126"/>
    </row>
    <row r="35" spans="1:21" x14ac:dyDescent="0.2">
      <c r="A35" s="372">
        <v>33</v>
      </c>
      <c r="B35" s="373"/>
      <c r="C35" s="465"/>
      <c r="D35" s="465"/>
      <c r="E35" s="465"/>
      <c r="F35" s="375"/>
      <c r="G35" s="380">
        <f t="shared" si="5"/>
        <v>0</v>
      </c>
      <c r="H35" s="157">
        <f t="shared" si="0"/>
        <v>0</v>
      </c>
      <c r="I35" s="64">
        <f t="shared" si="0"/>
        <v>0</v>
      </c>
      <c r="J35" s="279">
        <f t="shared" si="1"/>
        <v>1</v>
      </c>
      <c r="K35" s="91">
        <f t="shared" si="6"/>
        <v>0</v>
      </c>
      <c r="L35" s="92"/>
      <c r="M35" s="106" t="str">
        <f t="shared" si="2"/>
        <v/>
      </c>
      <c r="N35" s="122"/>
      <c r="O35" s="105">
        <f t="shared" si="7"/>
        <v>0</v>
      </c>
      <c r="P35" s="63">
        <f t="shared" si="7"/>
        <v>0</v>
      </c>
      <c r="Q35" s="90">
        <f t="shared" si="3"/>
        <v>1</v>
      </c>
      <c r="R35" s="111">
        <f t="shared" si="8"/>
        <v>0</v>
      </c>
      <c r="S35" s="92"/>
      <c r="T35" s="106" t="str">
        <f t="shared" si="4"/>
        <v/>
      </c>
      <c r="U35" s="126"/>
    </row>
    <row r="36" spans="1:21" x14ac:dyDescent="0.2">
      <c r="A36" s="372">
        <v>34</v>
      </c>
      <c r="B36" s="373"/>
      <c r="C36" s="465"/>
      <c r="D36" s="465"/>
      <c r="E36" s="465"/>
      <c r="F36" s="375"/>
      <c r="G36" s="380">
        <f t="shared" si="5"/>
        <v>0</v>
      </c>
      <c r="H36" s="157">
        <f t="shared" si="0"/>
        <v>0</v>
      </c>
      <c r="I36" s="64">
        <f t="shared" si="0"/>
        <v>0</v>
      </c>
      <c r="J36" s="279">
        <f t="shared" si="1"/>
        <v>1</v>
      </c>
      <c r="K36" s="91">
        <f t="shared" si="6"/>
        <v>0</v>
      </c>
      <c r="L36" s="92"/>
      <c r="M36" s="106" t="str">
        <f t="shared" si="2"/>
        <v/>
      </c>
      <c r="N36" s="122"/>
      <c r="O36" s="105">
        <f t="shared" si="7"/>
        <v>0</v>
      </c>
      <c r="P36" s="63">
        <f t="shared" si="7"/>
        <v>0</v>
      </c>
      <c r="Q36" s="90">
        <f t="shared" si="3"/>
        <v>1</v>
      </c>
      <c r="R36" s="111">
        <f t="shared" si="8"/>
        <v>0</v>
      </c>
      <c r="S36" s="92"/>
      <c r="T36" s="106" t="str">
        <f t="shared" si="4"/>
        <v/>
      </c>
      <c r="U36" s="126"/>
    </row>
    <row r="37" spans="1:21" x14ac:dyDescent="0.2">
      <c r="A37" s="372">
        <v>35</v>
      </c>
      <c r="B37" s="373"/>
      <c r="C37" s="465"/>
      <c r="D37" s="465"/>
      <c r="E37" s="465"/>
      <c r="F37" s="375"/>
      <c r="G37" s="380">
        <f t="shared" si="5"/>
        <v>0</v>
      </c>
      <c r="H37" s="157">
        <f t="shared" si="0"/>
        <v>0</v>
      </c>
      <c r="I37" s="64">
        <f t="shared" si="0"/>
        <v>0</v>
      </c>
      <c r="J37" s="279">
        <f t="shared" si="1"/>
        <v>1</v>
      </c>
      <c r="K37" s="91">
        <f t="shared" si="6"/>
        <v>0</v>
      </c>
      <c r="L37" s="92"/>
      <c r="M37" s="106" t="str">
        <f t="shared" si="2"/>
        <v/>
      </c>
      <c r="N37" s="122"/>
      <c r="O37" s="105">
        <f t="shared" si="7"/>
        <v>0</v>
      </c>
      <c r="P37" s="63">
        <f t="shared" si="7"/>
        <v>0</v>
      </c>
      <c r="Q37" s="90">
        <f t="shared" si="3"/>
        <v>1</v>
      </c>
      <c r="R37" s="111">
        <f t="shared" si="8"/>
        <v>0</v>
      </c>
      <c r="S37" s="92"/>
      <c r="T37" s="106" t="str">
        <f t="shared" si="4"/>
        <v/>
      </c>
      <c r="U37" s="126"/>
    </row>
    <row r="38" spans="1:21" x14ac:dyDescent="0.2">
      <c r="A38" s="372">
        <v>36</v>
      </c>
      <c r="B38" s="373"/>
      <c r="C38" s="465"/>
      <c r="D38" s="465"/>
      <c r="E38" s="465"/>
      <c r="F38" s="375"/>
      <c r="G38" s="380">
        <f t="shared" si="5"/>
        <v>0</v>
      </c>
      <c r="H38" s="157">
        <f t="shared" si="0"/>
        <v>0</v>
      </c>
      <c r="I38" s="64">
        <f t="shared" si="0"/>
        <v>0</v>
      </c>
      <c r="J38" s="279">
        <f t="shared" si="1"/>
        <v>1</v>
      </c>
      <c r="K38" s="91">
        <f t="shared" si="6"/>
        <v>0</v>
      </c>
      <c r="L38" s="92"/>
      <c r="M38" s="106" t="str">
        <f t="shared" si="2"/>
        <v/>
      </c>
      <c r="N38" s="122"/>
      <c r="O38" s="105">
        <f t="shared" si="7"/>
        <v>0</v>
      </c>
      <c r="P38" s="63">
        <f t="shared" si="7"/>
        <v>0</v>
      </c>
      <c r="Q38" s="90">
        <f t="shared" si="3"/>
        <v>1</v>
      </c>
      <c r="R38" s="111">
        <f t="shared" si="8"/>
        <v>0</v>
      </c>
      <c r="S38" s="92"/>
      <c r="T38" s="106" t="str">
        <f t="shared" si="4"/>
        <v/>
      </c>
      <c r="U38" s="126"/>
    </row>
    <row r="39" spans="1:21" x14ac:dyDescent="0.2">
      <c r="A39" s="372">
        <v>37</v>
      </c>
      <c r="B39" s="373"/>
      <c r="C39" s="465"/>
      <c r="D39" s="465"/>
      <c r="E39" s="465"/>
      <c r="F39" s="375"/>
      <c r="G39" s="380">
        <f t="shared" si="5"/>
        <v>0</v>
      </c>
      <c r="H39" s="157">
        <f t="shared" si="0"/>
        <v>0</v>
      </c>
      <c r="I39" s="64">
        <f t="shared" si="0"/>
        <v>0</v>
      </c>
      <c r="J39" s="279">
        <f t="shared" si="1"/>
        <v>1</v>
      </c>
      <c r="K39" s="91">
        <f t="shared" si="6"/>
        <v>0</v>
      </c>
      <c r="L39" s="92"/>
      <c r="M39" s="106" t="str">
        <f t="shared" si="2"/>
        <v/>
      </c>
      <c r="N39" s="122"/>
      <c r="O39" s="105">
        <f t="shared" si="7"/>
        <v>0</v>
      </c>
      <c r="P39" s="63">
        <f t="shared" si="7"/>
        <v>0</v>
      </c>
      <c r="Q39" s="90">
        <f t="shared" si="3"/>
        <v>1</v>
      </c>
      <c r="R39" s="111">
        <f t="shared" si="8"/>
        <v>0</v>
      </c>
      <c r="S39" s="92"/>
      <c r="T39" s="106" t="str">
        <f t="shared" si="4"/>
        <v/>
      </c>
      <c r="U39" s="126"/>
    </row>
    <row r="40" spans="1:21" x14ac:dyDescent="0.2">
      <c r="A40" s="372">
        <v>38</v>
      </c>
      <c r="B40" s="373"/>
      <c r="C40" s="465"/>
      <c r="D40" s="465"/>
      <c r="E40" s="465"/>
      <c r="F40" s="375"/>
      <c r="G40" s="380">
        <f t="shared" si="5"/>
        <v>0</v>
      </c>
      <c r="H40" s="157">
        <f t="shared" si="0"/>
        <v>0</v>
      </c>
      <c r="I40" s="64">
        <f t="shared" si="0"/>
        <v>0</v>
      </c>
      <c r="J40" s="279">
        <f t="shared" si="1"/>
        <v>1</v>
      </c>
      <c r="K40" s="91">
        <f t="shared" si="6"/>
        <v>0</v>
      </c>
      <c r="L40" s="92"/>
      <c r="M40" s="106" t="str">
        <f t="shared" si="2"/>
        <v/>
      </c>
      <c r="N40" s="122"/>
      <c r="O40" s="105">
        <f t="shared" si="7"/>
        <v>0</v>
      </c>
      <c r="P40" s="63">
        <f t="shared" si="7"/>
        <v>0</v>
      </c>
      <c r="Q40" s="90">
        <f t="shared" si="3"/>
        <v>1</v>
      </c>
      <c r="R40" s="111">
        <f t="shared" si="8"/>
        <v>0</v>
      </c>
      <c r="S40" s="92"/>
      <c r="T40" s="106" t="str">
        <f t="shared" si="4"/>
        <v/>
      </c>
      <c r="U40" s="126"/>
    </row>
    <row r="41" spans="1:21" x14ac:dyDescent="0.2">
      <c r="A41" s="372">
        <v>39</v>
      </c>
      <c r="B41" s="373"/>
      <c r="C41" s="465"/>
      <c r="D41" s="465"/>
      <c r="E41" s="465"/>
      <c r="F41" s="375"/>
      <c r="G41" s="380">
        <f t="shared" si="5"/>
        <v>0</v>
      </c>
      <c r="H41" s="157">
        <f t="shared" si="0"/>
        <v>0</v>
      </c>
      <c r="I41" s="64">
        <f t="shared" si="0"/>
        <v>0</v>
      </c>
      <c r="J41" s="279">
        <f t="shared" si="1"/>
        <v>1</v>
      </c>
      <c r="K41" s="91">
        <f t="shared" si="6"/>
        <v>0</v>
      </c>
      <c r="L41" s="92"/>
      <c r="M41" s="106" t="str">
        <f t="shared" si="2"/>
        <v/>
      </c>
      <c r="N41" s="122"/>
      <c r="O41" s="105">
        <f t="shared" si="7"/>
        <v>0</v>
      </c>
      <c r="P41" s="63">
        <f t="shared" si="7"/>
        <v>0</v>
      </c>
      <c r="Q41" s="90">
        <f t="shared" si="3"/>
        <v>1</v>
      </c>
      <c r="R41" s="111">
        <f t="shared" si="8"/>
        <v>0</v>
      </c>
      <c r="S41" s="92"/>
      <c r="T41" s="106" t="str">
        <f t="shared" si="4"/>
        <v/>
      </c>
      <c r="U41" s="126"/>
    </row>
    <row r="42" spans="1:21" x14ac:dyDescent="0.2">
      <c r="A42" s="372">
        <v>40</v>
      </c>
      <c r="B42" s="373"/>
      <c r="C42" s="465"/>
      <c r="D42" s="465"/>
      <c r="E42" s="465"/>
      <c r="F42" s="375"/>
      <c r="G42" s="380">
        <f t="shared" si="5"/>
        <v>0</v>
      </c>
      <c r="H42" s="157">
        <f t="shared" si="0"/>
        <v>0</v>
      </c>
      <c r="I42" s="64">
        <f t="shared" si="0"/>
        <v>0</v>
      </c>
      <c r="J42" s="279">
        <f t="shared" si="1"/>
        <v>1</v>
      </c>
      <c r="K42" s="91">
        <f t="shared" si="6"/>
        <v>0</v>
      </c>
      <c r="L42" s="92"/>
      <c r="M42" s="106" t="str">
        <f t="shared" si="2"/>
        <v/>
      </c>
      <c r="N42" s="122"/>
      <c r="O42" s="105">
        <f t="shared" si="7"/>
        <v>0</v>
      </c>
      <c r="P42" s="63">
        <f t="shared" si="7"/>
        <v>0</v>
      </c>
      <c r="Q42" s="90">
        <f t="shared" si="3"/>
        <v>1</v>
      </c>
      <c r="R42" s="111">
        <f t="shared" si="8"/>
        <v>0</v>
      </c>
      <c r="S42" s="92"/>
      <c r="T42" s="106" t="str">
        <f t="shared" si="4"/>
        <v/>
      </c>
      <c r="U42" s="126"/>
    </row>
    <row r="43" spans="1:21" ht="13.5" thickBot="1" x14ac:dyDescent="0.25">
      <c r="A43" s="377"/>
      <c r="B43" s="378" t="s">
        <v>4</v>
      </c>
      <c r="C43" s="379"/>
      <c r="D43" s="379"/>
      <c r="E43" s="379"/>
      <c r="F43" s="379"/>
      <c r="G43" s="380">
        <f>SUM(G3:G42)</f>
        <v>0</v>
      </c>
      <c r="H43" s="158"/>
      <c r="I43" s="107"/>
      <c r="J43" s="107"/>
      <c r="K43" s="107">
        <f>SUM(K3:K42)</f>
        <v>0</v>
      </c>
      <c r="L43" s="108"/>
      <c r="M43" s="109"/>
      <c r="N43" s="123"/>
      <c r="O43" s="113"/>
      <c r="P43" s="112"/>
      <c r="Q43" s="112"/>
      <c r="R43" s="112">
        <f>SUM(R3:R42)</f>
        <v>0</v>
      </c>
      <c r="S43" s="114"/>
      <c r="T43" s="115"/>
      <c r="U43" s="127"/>
    </row>
    <row r="46" spans="1:21" s="15" customFormat="1" x14ac:dyDescent="0.2">
      <c r="M46" s="40"/>
      <c r="N46" s="39"/>
      <c r="T46" s="40"/>
    </row>
    <row r="47" spans="1:21" s="15" customFormat="1" x14ac:dyDescent="0.2">
      <c r="N47" s="39"/>
    </row>
    <row r="48" spans="1:21" s="15" customFormat="1" ht="30.2" customHeight="1" x14ac:dyDescent="0.2">
      <c r="A48" s="597" t="s">
        <v>101</v>
      </c>
      <c r="B48" s="597"/>
      <c r="L48" s="597" t="s">
        <v>99</v>
      </c>
      <c r="M48" s="597"/>
      <c r="S48" s="597" t="s">
        <v>99</v>
      </c>
      <c r="T48" s="597"/>
    </row>
    <row r="49" spans="1:20" s="15" customFormat="1" ht="25.5" customHeight="1" x14ac:dyDescent="0.2">
      <c r="A49" s="83" t="s">
        <v>56</v>
      </c>
      <c r="B49" s="57" t="s">
        <v>13</v>
      </c>
      <c r="L49" s="56" t="s">
        <v>68</v>
      </c>
      <c r="M49" s="57" t="s">
        <v>69</v>
      </c>
      <c r="N49" s="39"/>
      <c r="S49" s="56" t="s">
        <v>68</v>
      </c>
      <c r="T49" s="57" t="s">
        <v>69</v>
      </c>
    </row>
    <row r="50" spans="1:20" s="15" customFormat="1" ht="26.45" customHeight="1" x14ac:dyDescent="0.2">
      <c r="A50" s="58">
        <v>1</v>
      </c>
      <c r="B50" s="59" t="s">
        <v>57</v>
      </c>
      <c r="L50" s="58">
        <v>1</v>
      </c>
      <c r="M50" s="84" t="s">
        <v>66</v>
      </c>
      <c r="N50" s="39"/>
      <c r="S50" s="58">
        <v>1</v>
      </c>
      <c r="T50" s="84" t="s">
        <v>66</v>
      </c>
    </row>
    <row r="51" spans="1:20" s="15" customFormat="1" ht="26.45" customHeight="1" x14ac:dyDescent="0.2">
      <c r="A51" s="58">
        <v>2</v>
      </c>
      <c r="B51" s="58" t="s">
        <v>58</v>
      </c>
      <c r="L51" s="58">
        <v>2</v>
      </c>
      <c r="M51" s="84" t="s">
        <v>65</v>
      </c>
      <c r="N51" s="39"/>
      <c r="S51" s="58">
        <v>2</v>
      </c>
      <c r="T51" s="84" t="s">
        <v>65</v>
      </c>
    </row>
    <row r="52" spans="1:20" s="15" customFormat="1" ht="26.45" customHeight="1" x14ac:dyDescent="0.2">
      <c r="A52" s="58">
        <v>3</v>
      </c>
      <c r="B52" s="59" t="s">
        <v>59</v>
      </c>
      <c r="L52" s="58">
        <v>3</v>
      </c>
      <c r="M52" s="84" t="s">
        <v>64</v>
      </c>
      <c r="N52" s="39"/>
      <c r="S52" s="58">
        <v>3</v>
      </c>
      <c r="T52" s="84" t="s">
        <v>64</v>
      </c>
    </row>
    <row r="53" spans="1:20" s="15" customFormat="1" ht="26.45" customHeight="1" x14ac:dyDescent="0.2">
      <c r="A53" s="58">
        <v>4</v>
      </c>
      <c r="B53" s="59" t="s">
        <v>60</v>
      </c>
      <c r="L53" s="58">
        <v>4</v>
      </c>
      <c r="M53" s="84" t="s">
        <v>67</v>
      </c>
      <c r="N53" s="39"/>
      <c r="S53" s="58">
        <v>4</v>
      </c>
      <c r="T53" s="84" t="s">
        <v>67</v>
      </c>
    </row>
    <row r="54" spans="1:20" s="15" customFormat="1" ht="26.45" customHeight="1" x14ac:dyDescent="0.2">
      <c r="L54" s="58">
        <v>5</v>
      </c>
      <c r="M54" s="84" t="s">
        <v>103</v>
      </c>
      <c r="N54" s="39"/>
      <c r="S54" s="58">
        <v>5</v>
      </c>
      <c r="T54" s="84" t="s">
        <v>103</v>
      </c>
    </row>
    <row r="55" spans="1:20" s="15" customFormat="1" ht="25.5" customHeight="1" x14ac:dyDescent="0.2">
      <c r="L55" s="58">
        <v>6</v>
      </c>
      <c r="M55" s="84" t="s">
        <v>20</v>
      </c>
      <c r="N55" s="39"/>
      <c r="S55" s="58">
        <v>6</v>
      </c>
      <c r="T55" s="84" t="s">
        <v>20</v>
      </c>
    </row>
    <row r="56" spans="1:20" s="15" customFormat="1" x14ac:dyDescent="0.2">
      <c r="N56" s="39"/>
    </row>
    <row r="57" spans="1:20" s="15" customFormat="1" x14ac:dyDescent="0.2">
      <c r="N57" s="39"/>
    </row>
    <row r="58" spans="1:20" s="15" customFormat="1" x14ac:dyDescent="0.2">
      <c r="N58" s="39"/>
    </row>
    <row r="59" spans="1:20" s="15" customFormat="1" x14ac:dyDescent="0.2">
      <c r="N59" s="39"/>
    </row>
    <row r="60" spans="1:20" s="15" customFormat="1" x14ac:dyDescent="0.2">
      <c r="N60" s="39"/>
    </row>
    <row r="61" spans="1:20" s="15" customFormat="1" x14ac:dyDescent="0.2"/>
    <row r="62" spans="1:20" s="15" customFormat="1" x14ac:dyDescent="0.2"/>
    <row r="63" spans="1:20" s="15" customFormat="1" x14ac:dyDescent="0.2"/>
    <row r="64" spans="1:20" s="15" customFormat="1" x14ac:dyDescent="0.2"/>
    <row r="65" spans="1:1" s="15" customFormat="1" x14ac:dyDescent="0.2"/>
    <row r="66" spans="1:1" s="15" customFormat="1" x14ac:dyDescent="0.2"/>
    <row r="67" spans="1:1" s="15" customFormat="1" x14ac:dyDescent="0.2"/>
    <row r="68" spans="1:1" s="15" customFormat="1" x14ac:dyDescent="0.2"/>
    <row r="69" spans="1:1" s="15" customFormat="1" x14ac:dyDescent="0.2">
      <c r="A69" s="466">
        <f>VLOOKUP(+'ראשי-פרטים כלליים וריכוז הוצאות'!C117,'ראשי-פרטים כלליים וריכוז הוצאות'!$F$116:$N$130,9,0)</f>
        <v>0</v>
      </c>
    </row>
    <row r="70" spans="1:1" s="15" customFormat="1" x14ac:dyDescent="0.2"/>
    <row r="71" spans="1:1" s="15" customFormat="1" x14ac:dyDescent="0.2"/>
    <row r="72" spans="1:1" s="15" customFormat="1" x14ac:dyDescent="0.2"/>
    <row r="73" spans="1:1" s="15" customFormat="1" x14ac:dyDescent="0.2"/>
    <row r="74" spans="1:1" s="15" customFormat="1" x14ac:dyDescent="0.2"/>
    <row r="75" spans="1:1" s="15" customFormat="1" x14ac:dyDescent="0.2"/>
    <row r="76" spans="1:1" s="15" customFormat="1" x14ac:dyDescent="0.2"/>
    <row r="77" spans="1:1" s="15" customFormat="1" x14ac:dyDescent="0.2"/>
    <row r="78" spans="1:1" s="15" customFormat="1" x14ac:dyDescent="0.2"/>
    <row r="79" spans="1:1" s="15" customFormat="1" x14ac:dyDescent="0.2"/>
    <row r="80" spans="1:1" s="15" customFormat="1" x14ac:dyDescent="0.2"/>
    <row r="81" s="15" customFormat="1" x14ac:dyDescent="0.2"/>
    <row r="82" s="15" customFormat="1" x14ac:dyDescent="0.2"/>
    <row r="83" s="15" customFormat="1" x14ac:dyDescent="0.2"/>
    <row r="84" s="15" customFormat="1" x14ac:dyDescent="0.2"/>
    <row r="85" s="15" customFormat="1" x14ac:dyDescent="0.2"/>
  </sheetData>
  <sheetProtection password="CAD0" sheet="1" objects="1" scenarios="1"/>
  <dataConsolidate/>
  <mergeCells count="8">
    <mergeCell ref="A48:B48"/>
    <mergeCell ref="L48:M48"/>
    <mergeCell ref="S48:T48"/>
    <mergeCell ref="A1:C1"/>
    <mergeCell ref="H1:J1"/>
    <mergeCell ref="K1:L1"/>
    <mergeCell ref="O1:Q1"/>
    <mergeCell ref="R1:S1"/>
  </mergeCells>
  <conditionalFormatting sqref="O3:P42">
    <cfRule type="cellIs" dxfId="5" priority="2" stopIfTrue="1" operator="notEqual">
      <formula>H3</formula>
    </cfRule>
  </conditionalFormatting>
  <conditionalFormatting sqref="H3:I42">
    <cfRule type="cellIs" dxfId="4" priority="3" stopIfTrue="1" operator="notEqual">
      <formula>D3</formula>
    </cfRule>
  </conditionalFormatting>
  <conditionalFormatting sqref="K3:K42">
    <cfRule type="cellIs" dxfId="3" priority="4" stopIfTrue="1" operator="notEqual">
      <formula>G3</formula>
    </cfRule>
  </conditionalFormatting>
  <conditionalFormatting sqref="J3:J42 Q3:Q42">
    <cfRule type="cellIs" dxfId="2" priority="5" stopIfTrue="1" operator="notEqual">
      <formula>1-$M$1</formula>
    </cfRule>
  </conditionalFormatting>
  <conditionalFormatting sqref="A1:XFD1048576">
    <cfRule type="expression" dxfId="1" priority="1">
      <formula>$A$69=0</formula>
    </cfRule>
  </conditionalFormatting>
  <dataValidations count="5">
    <dataValidation type="decimal" allowBlank="1" showInputMessage="1" showErrorMessage="1" errorTitle="תא מחושב בנוסחה" error="תא זה מחושב בנוסחה:_x000a_ בידך לשנות את שלושת העמודות מימין וע&quot;י כך לקבוע את הסכום המומלץ._x000a__x000a_על מנת להחזיר המצב לקדמותו, נא הקישו על ביטול" promptTitle="תא מחושב בנוסחה" prompt="אין להקליד נתונים בעמודה זו" sqref="K3:K42">
      <formula1>H3*I3*J3</formula1>
      <formula2>H3*I3*J3</formula2>
    </dataValidation>
    <dataValidation type="list" allowBlank="1" showInputMessage="1" showErrorMessage="1" errorTitle="בודק מקצועי: נא בחר קוד נימוק" error="במידה והינך מעוניין בנימוק אחר, הקש חמש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קיצוץ אחיד_x000a_6.  אחר (נא פרט בעמודה משמאל)_x000a_" sqref="S3:S42 L3:L42">
      <formula1>$L$50:$L$55</formula1>
    </dataValidation>
    <dataValidation type="list" allowBlank="1" showErrorMessage="1" error="נא בחר קוד עלות :_x000a_הצעת מחיר, _x000a_חוזה, _x000a_ מחירון, _x000a_אמדן." promptTitle="בחר קוד עלות:" prompt="_x000a_  הצעת מחיר._x000a_ חוזה._x000a_ מחירון.   _x000a_ אמדן" sqref="F3:F42">
      <formula1>$B$50:$B$53</formula1>
    </dataValidation>
    <dataValidation type="decimal" allowBlank="1" showInputMessage="1" showErrorMessage="1" error="נא להזין הסכום בש&quot;ח באופן תקין" sqref="D3:D42">
      <formula1>0</formula1>
      <formula2>999999999</formula2>
    </dataValidation>
    <dataValidation type="whole" operator="greaterThan" allowBlank="1" showInputMessage="1" showErrorMessage="1" error="נא להזין את הכמות הנדרשת באופן תקין וביחידות שלמות." sqref="E3:E42">
      <formula1>0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theme="6" tint="0.39997558519241921"/>
  </sheetPr>
  <dimension ref="A1:O76"/>
  <sheetViews>
    <sheetView rightToLeft="1" workbookViewId="0">
      <selection activeCell="S8" sqref="S8"/>
    </sheetView>
  </sheetViews>
  <sheetFormatPr defaultColWidth="8.85546875" defaultRowHeight="12.75" x14ac:dyDescent="0.2"/>
  <cols>
    <col min="1" max="1" width="7.140625" style="383" customWidth="1"/>
    <col min="2" max="2" width="30.7109375" style="384" customWidth="1"/>
    <col min="3" max="3" width="8.7109375" style="384" customWidth="1"/>
    <col min="4" max="4" width="8.28515625" style="384" customWidth="1"/>
    <col min="5" max="5" width="9.85546875" style="384" customWidth="1"/>
    <col min="6" max="6" width="8.85546875" style="383"/>
    <col min="7" max="8" width="8.85546875" style="384"/>
    <col min="9" max="9" width="9.7109375" style="383" customWidth="1"/>
    <col min="10" max="12" width="8.85546875" style="383"/>
    <col min="13" max="13" width="10.28515625" style="383" customWidth="1"/>
    <col min="14" max="14" width="23.7109375" style="385" customWidth="1"/>
    <col min="15" max="15" width="26.42578125" style="384" customWidth="1"/>
    <col min="16" max="16384" width="8.85546875" style="384"/>
  </cols>
  <sheetData>
    <row r="1" spans="1:15" ht="13.5" thickBot="1" x14ac:dyDescent="0.25"/>
    <row r="2" spans="1:15" ht="20.25" thickTop="1" thickBot="1" x14ac:dyDescent="0.25">
      <c r="A2" s="386"/>
      <c r="B2" s="632" t="s">
        <v>201</v>
      </c>
      <c r="C2" s="633"/>
      <c r="D2" s="633"/>
      <c r="E2" s="633"/>
      <c r="F2" s="633"/>
      <c r="G2" s="633"/>
      <c r="H2" s="633"/>
      <c r="I2" s="633"/>
      <c r="J2" s="633"/>
      <c r="K2" s="633"/>
      <c r="L2" s="633"/>
      <c r="M2" s="634"/>
      <c r="N2" s="635"/>
      <c r="O2" s="636"/>
    </row>
    <row r="3" spans="1:15" ht="46.5" thickTop="1" thickBot="1" x14ac:dyDescent="0.25">
      <c r="A3" s="387" t="s">
        <v>202</v>
      </c>
      <c r="B3" s="388" t="s">
        <v>203</v>
      </c>
      <c r="C3" s="389" t="s">
        <v>94</v>
      </c>
      <c r="D3" s="390" t="s">
        <v>95</v>
      </c>
      <c r="E3" s="391" t="s">
        <v>111</v>
      </c>
      <c r="F3" s="391" t="s">
        <v>2</v>
      </c>
      <c r="G3" s="389" t="s">
        <v>87</v>
      </c>
      <c r="H3" s="389" t="s">
        <v>88</v>
      </c>
      <c r="I3" s="391" t="s">
        <v>112</v>
      </c>
      <c r="J3" s="391" t="s">
        <v>29</v>
      </c>
      <c r="K3" s="391" t="s">
        <v>204</v>
      </c>
      <c r="L3" s="391" t="s">
        <v>200</v>
      </c>
      <c r="M3" s="391" t="s">
        <v>205</v>
      </c>
      <c r="N3" s="391" t="s">
        <v>206</v>
      </c>
      <c r="O3" s="392" t="s">
        <v>207</v>
      </c>
    </row>
    <row r="4" spans="1:15" ht="16.5" thickTop="1" x14ac:dyDescent="0.2">
      <c r="A4" s="393">
        <v>1</v>
      </c>
      <c r="B4" s="427"/>
      <c r="C4" s="428"/>
      <c r="D4" s="429"/>
      <c r="E4" s="394">
        <f>D4+C4</f>
        <v>0</v>
      </c>
      <c r="F4" s="418"/>
      <c r="G4" s="410"/>
      <c r="H4" s="411"/>
      <c r="I4" s="394">
        <f>H4+G4</f>
        <v>0</v>
      </c>
      <c r="J4" s="418"/>
      <c r="K4" s="418"/>
      <c r="L4" s="418"/>
      <c r="M4" s="395">
        <f t="shared" ref="M4:M28" si="0">E4+F4+I4+J4+K4+L4</f>
        <v>0</v>
      </c>
      <c r="N4" s="421"/>
      <c r="O4" s="422"/>
    </row>
    <row r="5" spans="1:15" ht="15.75" x14ac:dyDescent="0.2">
      <c r="A5" s="396">
        <f>A4+1</f>
        <v>2</v>
      </c>
      <c r="B5" s="412"/>
      <c r="C5" s="413"/>
      <c r="D5" s="414"/>
      <c r="E5" s="397">
        <f t="shared" ref="E5:E28" si="1">D5+C5</f>
        <v>0</v>
      </c>
      <c r="F5" s="419"/>
      <c r="G5" s="413"/>
      <c r="H5" s="414"/>
      <c r="I5" s="397">
        <f t="shared" ref="I5:I28" si="2">H5+G5</f>
        <v>0</v>
      </c>
      <c r="J5" s="419"/>
      <c r="K5" s="419"/>
      <c r="L5" s="419"/>
      <c r="M5" s="398">
        <f t="shared" si="0"/>
        <v>0</v>
      </c>
      <c r="N5" s="423"/>
      <c r="O5" s="424"/>
    </row>
    <row r="6" spans="1:15" ht="15.75" x14ac:dyDescent="0.2">
      <c r="A6" s="396">
        <f t="shared" ref="A6:A28" si="3">A5+1</f>
        <v>3</v>
      </c>
      <c r="B6" s="412"/>
      <c r="C6" s="413"/>
      <c r="D6" s="414"/>
      <c r="E6" s="397">
        <f t="shared" si="1"/>
        <v>0</v>
      </c>
      <c r="F6" s="419"/>
      <c r="G6" s="413"/>
      <c r="H6" s="414"/>
      <c r="I6" s="397">
        <f t="shared" si="2"/>
        <v>0</v>
      </c>
      <c r="J6" s="419"/>
      <c r="K6" s="419"/>
      <c r="L6" s="419"/>
      <c r="M6" s="398">
        <f t="shared" si="0"/>
        <v>0</v>
      </c>
      <c r="N6" s="423"/>
      <c r="O6" s="424"/>
    </row>
    <row r="7" spans="1:15" ht="15.75" x14ac:dyDescent="0.2">
      <c r="A7" s="396">
        <f t="shared" si="3"/>
        <v>4</v>
      </c>
      <c r="B7" s="412"/>
      <c r="C7" s="413"/>
      <c r="D7" s="414"/>
      <c r="E7" s="397">
        <f t="shared" si="1"/>
        <v>0</v>
      </c>
      <c r="F7" s="419"/>
      <c r="G7" s="413"/>
      <c r="H7" s="414"/>
      <c r="I7" s="397">
        <f t="shared" si="2"/>
        <v>0</v>
      </c>
      <c r="J7" s="419"/>
      <c r="K7" s="419"/>
      <c r="L7" s="419"/>
      <c r="M7" s="398">
        <f t="shared" si="0"/>
        <v>0</v>
      </c>
      <c r="N7" s="423"/>
      <c r="O7" s="424"/>
    </row>
    <row r="8" spans="1:15" ht="15.75" x14ac:dyDescent="0.2">
      <c r="A8" s="396">
        <f t="shared" si="3"/>
        <v>5</v>
      </c>
      <c r="B8" s="412"/>
      <c r="C8" s="413"/>
      <c r="D8" s="414"/>
      <c r="E8" s="397">
        <f t="shared" si="1"/>
        <v>0</v>
      </c>
      <c r="F8" s="419"/>
      <c r="G8" s="413"/>
      <c r="H8" s="414"/>
      <c r="I8" s="397">
        <f t="shared" si="2"/>
        <v>0</v>
      </c>
      <c r="J8" s="419"/>
      <c r="K8" s="419"/>
      <c r="L8" s="419"/>
      <c r="M8" s="398">
        <f t="shared" si="0"/>
        <v>0</v>
      </c>
      <c r="N8" s="423"/>
      <c r="O8" s="424"/>
    </row>
    <row r="9" spans="1:15" ht="15.75" x14ac:dyDescent="0.2">
      <c r="A9" s="396">
        <f t="shared" si="3"/>
        <v>6</v>
      </c>
      <c r="B9" s="412"/>
      <c r="C9" s="413"/>
      <c r="D9" s="414"/>
      <c r="E9" s="397">
        <f t="shared" si="1"/>
        <v>0</v>
      </c>
      <c r="F9" s="419"/>
      <c r="G9" s="413"/>
      <c r="H9" s="414"/>
      <c r="I9" s="397">
        <f t="shared" si="2"/>
        <v>0</v>
      </c>
      <c r="J9" s="419"/>
      <c r="K9" s="419"/>
      <c r="L9" s="419"/>
      <c r="M9" s="398">
        <f t="shared" si="0"/>
        <v>0</v>
      </c>
      <c r="N9" s="423"/>
      <c r="O9" s="424"/>
    </row>
    <row r="10" spans="1:15" ht="15.75" x14ac:dyDescent="0.2">
      <c r="A10" s="396">
        <f t="shared" si="3"/>
        <v>7</v>
      </c>
      <c r="B10" s="412"/>
      <c r="C10" s="413"/>
      <c r="D10" s="414"/>
      <c r="E10" s="397">
        <f t="shared" si="1"/>
        <v>0</v>
      </c>
      <c r="F10" s="419"/>
      <c r="G10" s="413"/>
      <c r="H10" s="414"/>
      <c r="I10" s="397">
        <f t="shared" si="2"/>
        <v>0</v>
      </c>
      <c r="J10" s="419"/>
      <c r="K10" s="419"/>
      <c r="L10" s="419"/>
      <c r="M10" s="398">
        <f t="shared" si="0"/>
        <v>0</v>
      </c>
      <c r="N10" s="423"/>
      <c r="O10" s="424"/>
    </row>
    <row r="11" spans="1:15" ht="15.75" x14ac:dyDescent="0.2">
      <c r="A11" s="396">
        <f t="shared" si="3"/>
        <v>8</v>
      </c>
      <c r="B11" s="412"/>
      <c r="C11" s="413"/>
      <c r="D11" s="414"/>
      <c r="E11" s="397">
        <f t="shared" si="1"/>
        <v>0</v>
      </c>
      <c r="F11" s="419"/>
      <c r="G11" s="413"/>
      <c r="H11" s="414"/>
      <c r="I11" s="397">
        <f t="shared" si="2"/>
        <v>0</v>
      </c>
      <c r="J11" s="419"/>
      <c r="K11" s="419"/>
      <c r="L11" s="419"/>
      <c r="M11" s="398">
        <f t="shared" si="0"/>
        <v>0</v>
      </c>
      <c r="N11" s="423"/>
      <c r="O11" s="424"/>
    </row>
    <row r="12" spans="1:15" ht="15.75" x14ac:dyDescent="0.2">
      <c r="A12" s="396">
        <f t="shared" si="3"/>
        <v>9</v>
      </c>
      <c r="B12" s="412"/>
      <c r="C12" s="413"/>
      <c r="D12" s="414"/>
      <c r="E12" s="397">
        <f t="shared" si="1"/>
        <v>0</v>
      </c>
      <c r="F12" s="419"/>
      <c r="G12" s="413"/>
      <c r="H12" s="414"/>
      <c r="I12" s="397">
        <f t="shared" si="2"/>
        <v>0</v>
      </c>
      <c r="J12" s="419"/>
      <c r="K12" s="419"/>
      <c r="L12" s="419"/>
      <c r="M12" s="398">
        <f t="shared" si="0"/>
        <v>0</v>
      </c>
      <c r="N12" s="423"/>
      <c r="O12" s="424"/>
    </row>
    <row r="13" spans="1:15" ht="15.75" x14ac:dyDescent="0.2">
      <c r="A13" s="396">
        <f t="shared" si="3"/>
        <v>10</v>
      </c>
      <c r="B13" s="412"/>
      <c r="C13" s="413"/>
      <c r="D13" s="414"/>
      <c r="E13" s="397">
        <f t="shared" si="1"/>
        <v>0</v>
      </c>
      <c r="F13" s="419"/>
      <c r="G13" s="413"/>
      <c r="H13" s="414"/>
      <c r="I13" s="397">
        <f t="shared" si="2"/>
        <v>0</v>
      </c>
      <c r="J13" s="419"/>
      <c r="K13" s="419"/>
      <c r="L13" s="419"/>
      <c r="M13" s="398">
        <f t="shared" si="0"/>
        <v>0</v>
      </c>
      <c r="N13" s="423"/>
      <c r="O13" s="424"/>
    </row>
    <row r="14" spans="1:15" ht="15.75" x14ac:dyDescent="0.2">
      <c r="A14" s="396">
        <f t="shared" si="3"/>
        <v>11</v>
      </c>
      <c r="B14" s="412"/>
      <c r="C14" s="413"/>
      <c r="D14" s="414"/>
      <c r="E14" s="397">
        <f t="shared" si="1"/>
        <v>0</v>
      </c>
      <c r="F14" s="419"/>
      <c r="G14" s="413"/>
      <c r="H14" s="414"/>
      <c r="I14" s="397">
        <f t="shared" si="2"/>
        <v>0</v>
      </c>
      <c r="J14" s="419"/>
      <c r="K14" s="419"/>
      <c r="L14" s="419"/>
      <c r="M14" s="398">
        <f t="shared" si="0"/>
        <v>0</v>
      </c>
      <c r="N14" s="423"/>
      <c r="O14" s="424"/>
    </row>
    <row r="15" spans="1:15" ht="15.75" x14ac:dyDescent="0.2">
      <c r="A15" s="396">
        <f t="shared" si="3"/>
        <v>12</v>
      </c>
      <c r="B15" s="412"/>
      <c r="C15" s="413"/>
      <c r="D15" s="414"/>
      <c r="E15" s="397">
        <f t="shared" si="1"/>
        <v>0</v>
      </c>
      <c r="F15" s="419"/>
      <c r="G15" s="413"/>
      <c r="H15" s="414"/>
      <c r="I15" s="397">
        <f t="shared" si="2"/>
        <v>0</v>
      </c>
      <c r="J15" s="419"/>
      <c r="K15" s="419"/>
      <c r="L15" s="419"/>
      <c r="M15" s="398">
        <f t="shared" si="0"/>
        <v>0</v>
      </c>
      <c r="N15" s="423"/>
      <c r="O15" s="424"/>
    </row>
    <row r="16" spans="1:15" ht="15.75" x14ac:dyDescent="0.2">
      <c r="A16" s="396">
        <f t="shared" si="3"/>
        <v>13</v>
      </c>
      <c r="B16" s="412"/>
      <c r="C16" s="413"/>
      <c r="D16" s="414"/>
      <c r="E16" s="397">
        <f t="shared" si="1"/>
        <v>0</v>
      </c>
      <c r="F16" s="419"/>
      <c r="G16" s="413"/>
      <c r="H16" s="414"/>
      <c r="I16" s="397">
        <f t="shared" si="2"/>
        <v>0</v>
      </c>
      <c r="J16" s="419"/>
      <c r="K16" s="419"/>
      <c r="L16" s="419"/>
      <c r="M16" s="398">
        <f t="shared" si="0"/>
        <v>0</v>
      </c>
      <c r="N16" s="423"/>
      <c r="O16" s="424"/>
    </row>
    <row r="17" spans="1:15" ht="15.75" x14ac:dyDescent="0.2">
      <c r="A17" s="396">
        <f t="shared" si="3"/>
        <v>14</v>
      </c>
      <c r="B17" s="412"/>
      <c r="C17" s="413"/>
      <c r="D17" s="414"/>
      <c r="E17" s="397">
        <f t="shared" si="1"/>
        <v>0</v>
      </c>
      <c r="F17" s="419"/>
      <c r="G17" s="413"/>
      <c r="H17" s="414"/>
      <c r="I17" s="397">
        <f t="shared" si="2"/>
        <v>0</v>
      </c>
      <c r="J17" s="419"/>
      <c r="K17" s="419"/>
      <c r="L17" s="419"/>
      <c r="M17" s="398">
        <f t="shared" si="0"/>
        <v>0</v>
      </c>
      <c r="N17" s="423"/>
      <c r="O17" s="424"/>
    </row>
    <row r="18" spans="1:15" ht="15.75" x14ac:dyDescent="0.2">
      <c r="A18" s="396">
        <f t="shared" si="3"/>
        <v>15</v>
      </c>
      <c r="B18" s="412"/>
      <c r="C18" s="413"/>
      <c r="D18" s="414"/>
      <c r="E18" s="397">
        <f t="shared" si="1"/>
        <v>0</v>
      </c>
      <c r="F18" s="419"/>
      <c r="G18" s="413"/>
      <c r="H18" s="414"/>
      <c r="I18" s="397">
        <f t="shared" si="2"/>
        <v>0</v>
      </c>
      <c r="J18" s="419"/>
      <c r="K18" s="419"/>
      <c r="L18" s="419"/>
      <c r="M18" s="398">
        <f t="shared" si="0"/>
        <v>0</v>
      </c>
      <c r="N18" s="423"/>
      <c r="O18" s="424"/>
    </row>
    <row r="19" spans="1:15" ht="15.75" x14ac:dyDescent="0.2">
      <c r="A19" s="396">
        <f t="shared" si="3"/>
        <v>16</v>
      </c>
      <c r="B19" s="412"/>
      <c r="C19" s="413"/>
      <c r="D19" s="414"/>
      <c r="E19" s="397">
        <f t="shared" si="1"/>
        <v>0</v>
      </c>
      <c r="F19" s="419"/>
      <c r="G19" s="413"/>
      <c r="H19" s="414"/>
      <c r="I19" s="397">
        <f t="shared" si="2"/>
        <v>0</v>
      </c>
      <c r="J19" s="419"/>
      <c r="K19" s="419"/>
      <c r="L19" s="419"/>
      <c r="M19" s="398">
        <f t="shared" si="0"/>
        <v>0</v>
      </c>
      <c r="N19" s="423"/>
      <c r="O19" s="424"/>
    </row>
    <row r="20" spans="1:15" ht="15.75" x14ac:dyDescent="0.2">
      <c r="A20" s="396">
        <f t="shared" si="3"/>
        <v>17</v>
      </c>
      <c r="B20" s="412"/>
      <c r="C20" s="413"/>
      <c r="D20" s="414"/>
      <c r="E20" s="397">
        <f t="shared" si="1"/>
        <v>0</v>
      </c>
      <c r="F20" s="419"/>
      <c r="G20" s="413"/>
      <c r="H20" s="414"/>
      <c r="I20" s="397">
        <f t="shared" si="2"/>
        <v>0</v>
      </c>
      <c r="J20" s="419"/>
      <c r="K20" s="419"/>
      <c r="L20" s="419"/>
      <c r="M20" s="398">
        <f t="shared" si="0"/>
        <v>0</v>
      </c>
      <c r="N20" s="423"/>
      <c r="O20" s="424"/>
    </row>
    <row r="21" spans="1:15" ht="15.75" x14ac:dyDescent="0.2">
      <c r="A21" s="396">
        <f t="shared" si="3"/>
        <v>18</v>
      </c>
      <c r="B21" s="412"/>
      <c r="C21" s="413"/>
      <c r="D21" s="414"/>
      <c r="E21" s="397">
        <f t="shared" si="1"/>
        <v>0</v>
      </c>
      <c r="F21" s="419"/>
      <c r="G21" s="413"/>
      <c r="H21" s="414"/>
      <c r="I21" s="397">
        <f t="shared" si="2"/>
        <v>0</v>
      </c>
      <c r="J21" s="419"/>
      <c r="K21" s="419"/>
      <c r="L21" s="419"/>
      <c r="M21" s="398">
        <f t="shared" si="0"/>
        <v>0</v>
      </c>
      <c r="N21" s="423"/>
      <c r="O21" s="424"/>
    </row>
    <row r="22" spans="1:15" ht="15.75" x14ac:dyDescent="0.2">
      <c r="A22" s="396">
        <f t="shared" si="3"/>
        <v>19</v>
      </c>
      <c r="B22" s="412"/>
      <c r="C22" s="413"/>
      <c r="D22" s="414"/>
      <c r="E22" s="397">
        <f t="shared" si="1"/>
        <v>0</v>
      </c>
      <c r="F22" s="419"/>
      <c r="G22" s="413"/>
      <c r="H22" s="414"/>
      <c r="I22" s="397">
        <f t="shared" si="2"/>
        <v>0</v>
      </c>
      <c r="J22" s="419"/>
      <c r="K22" s="419"/>
      <c r="L22" s="419"/>
      <c r="M22" s="398">
        <f t="shared" si="0"/>
        <v>0</v>
      </c>
      <c r="N22" s="423"/>
      <c r="O22" s="424"/>
    </row>
    <row r="23" spans="1:15" ht="15.75" x14ac:dyDescent="0.2">
      <c r="A23" s="396">
        <f t="shared" si="3"/>
        <v>20</v>
      </c>
      <c r="B23" s="412"/>
      <c r="C23" s="413"/>
      <c r="D23" s="414"/>
      <c r="E23" s="397">
        <f t="shared" si="1"/>
        <v>0</v>
      </c>
      <c r="F23" s="419"/>
      <c r="G23" s="413"/>
      <c r="H23" s="414"/>
      <c r="I23" s="397">
        <f t="shared" si="2"/>
        <v>0</v>
      </c>
      <c r="J23" s="419"/>
      <c r="K23" s="419"/>
      <c r="L23" s="419"/>
      <c r="M23" s="398">
        <f t="shared" si="0"/>
        <v>0</v>
      </c>
      <c r="N23" s="423"/>
      <c r="O23" s="424"/>
    </row>
    <row r="24" spans="1:15" ht="15.75" x14ac:dyDescent="0.2">
      <c r="A24" s="396">
        <f t="shared" si="3"/>
        <v>21</v>
      </c>
      <c r="B24" s="412"/>
      <c r="C24" s="413"/>
      <c r="D24" s="414"/>
      <c r="E24" s="397">
        <f t="shared" si="1"/>
        <v>0</v>
      </c>
      <c r="F24" s="419"/>
      <c r="G24" s="413"/>
      <c r="H24" s="414"/>
      <c r="I24" s="397">
        <f t="shared" si="2"/>
        <v>0</v>
      </c>
      <c r="J24" s="419"/>
      <c r="K24" s="419"/>
      <c r="L24" s="419"/>
      <c r="M24" s="398">
        <f t="shared" si="0"/>
        <v>0</v>
      </c>
      <c r="N24" s="423"/>
      <c r="O24" s="424"/>
    </row>
    <row r="25" spans="1:15" ht="15.75" x14ac:dyDescent="0.2">
      <c r="A25" s="396">
        <f t="shared" si="3"/>
        <v>22</v>
      </c>
      <c r="B25" s="412"/>
      <c r="C25" s="413"/>
      <c r="D25" s="414"/>
      <c r="E25" s="397">
        <f t="shared" si="1"/>
        <v>0</v>
      </c>
      <c r="F25" s="419"/>
      <c r="G25" s="413"/>
      <c r="H25" s="414"/>
      <c r="I25" s="397">
        <f t="shared" si="2"/>
        <v>0</v>
      </c>
      <c r="J25" s="419"/>
      <c r="K25" s="419"/>
      <c r="L25" s="419"/>
      <c r="M25" s="398">
        <f t="shared" si="0"/>
        <v>0</v>
      </c>
      <c r="N25" s="423"/>
      <c r="O25" s="424"/>
    </row>
    <row r="26" spans="1:15" ht="15.75" x14ac:dyDescent="0.2">
      <c r="A26" s="396">
        <f t="shared" si="3"/>
        <v>23</v>
      </c>
      <c r="B26" s="412"/>
      <c r="C26" s="413"/>
      <c r="D26" s="414"/>
      <c r="E26" s="397">
        <f t="shared" si="1"/>
        <v>0</v>
      </c>
      <c r="F26" s="419"/>
      <c r="G26" s="413"/>
      <c r="H26" s="414"/>
      <c r="I26" s="397">
        <f t="shared" si="2"/>
        <v>0</v>
      </c>
      <c r="J26" s="419"/>
      <c r="K26" s="419"/>
      <c r="L26" s="419"/>
      <c r="M26" s="398">
        <f t="shared" si="0"/>
        <v>0</v>
      </c>
      <c r="N26" s="423"/>
      <c r="O26" s="424"/>
    </row>
    <row r="27" spans="1:15" ht="15.75" x14ac:dyDescent="0.2">
      <c r="A27" s="396">
        <f t="shared" si="3"/>
        <v>24</v>
      </c>
      <c r="B27" s="412"/>
      <c r="C27" s="413"/>
      <c r="D27" s="414"/>
      <c r="E27" s="397">
        <f t="shared" si="1"/>
        <v>0</v>
      </c>
      <c r="F27" s="419"/>
      <c r="G27" s="413"/>
      <c r="H27" s="414"/>
      <c r="I27" s="397">
        <f t="shared" si="2"/>
        <v>0</v>
      </c>
      <c r="J27" s="419"/>
      <c r="K27" s="419"/>
      <c r="L27" s="419"/>
      <c r="M27" s="398">
        <f t="shared" si="0"/>
        <v>0</v>
      </c>
      <c r="N27" s="423"/>
      <c r="O27" s="424"/>
    </row>
    <row r="28" spans="1:15" ht="16.5" thickBot="1" x14ac:dyDescent="0.25">
      <c r="A28" s="399">
        <f t="shared" si="3"/>
        <v>25</v>
      </c>
      <c r="B28" s="415"/>
      <c r="C28" s="416"/>
      <c r="D28" s="417"/>
      <c r="E28" s="400">
        <f t="shared" si="1"/>
        <v>0</v>
      </c>
      <c r="F28" s="420"/>
      <c r="G28" s="416"/>
      <c r="H28" s="417"/>
      <c r="I28" s="400">
        <f t="shared" si="2"/>
        <v>0</v>
      </c>
      <c r="J28" s="420"/>
      <c r="K28" s="420"/>
      <c r="L28" s="420"/>
      <c r="M28" s="401">
        <f t="shared" si="0"/>
        <v>0</v>
      </c>
      <c r="N28" s="425"/>
      <c r="O28" s="426"/>
    </row>
    <row r="29" spans="1:15" s="383" customFormat="1" ht="14.25" thickTop="1" thickBot="1" x14ac:dyDescent="0.25">
      <c r="A29" s="402"/>
      <c r="B29" s="403" t="s">
        <v>4</v>
      </c>
      <c r="C29" s="404">
        <f t="shared" ref="C29:M29" si="4">SUM(C4:C28)</f>
        <v>0</v>
      </c>
      <c r="D29" s="405">
        <f t="shared" si="4"/>
        <v>0</v>
      </c>
      <c r="E29" s="406">
        <f t="shared" si="4"/>
        <v>0</v>
      </c>
      <c r="F29" s="406">
        <f t="shared" si="4"/>
        <v>0</v>
      </c>
      <c r="G29" s="407">
        <f t="shared" si="4"/>
        <v>0</v>
      </c>
      <c r="H29" s="404">
        <f t="shared" si="4"/>
        <v>0</v>
      </c>
      <c r="I29" s="406">
        <f t="shared" si="4"/>
        <v>0</v>
      </c>
      <c r="J29" s="406">
        <f t="shared" si="4"/>
        <v>0</v>
      </c>
      <c r="K29" s="406">
        <f t="shared" si="4"/>
        <v>0</v>
      </c>
      <c r="L29" s="406">
        <f t="shared" si="4"/>
        <v>0</v>
      </c>
      <c r="M29" s="406">
        <f t="shared" si="4"/>
        <v>0</v>
      </c>
      <c r="N29" s="408"/>
      <c r="O29" s="409"/>
    </row>
    <row r="30" spans="1:15" ht="13.5" thickTop="1" x14ac:dyDescent="0.2"/>
    <row r="61" hidden="1" x14ac:dyDescent="0.2"/>
    <row r="62" hidden="1" x14ac:dyDescent="0.2"/>
    <row r="63" hidden="1" x14ac:dyDescent="0.2"/>
    <row r="64" hidden="1" x14ac:dyDescent="0.2"/>
    <row r="65" spans="1:1" hidden="1" x14ac:dyDescent="0.2"/>
    <row r="66" spans="1:1" hidden="1" x14ac:dyDescent="0.2"/>
    <row r="67" spans="1:1" hidden="1" x14ac:dyDescent="0.2"/>
    <row r="68" spans="1:1" hidden="1" x14ac:dyDescent="0.2"/>
    <row r="69" spans="1:1" hidden="1" x14ac:dyDescent="0.2">
      <c r="A69" s="383">
        <f>VLOOKUP(+'ראשי-פרטים כלליים וריכוז הוצאות'!C117,'ראשי-פרטים כלליים וריכוז הוצאות'!$F$116:$M$127,8,0)</f>
        <v>1</v>
      </c>
    </row>
    <row r="70" spans="1:1" hidden="1" x14ac:dyDescent="0.2"/>
    <row r="71" spans="1:1" hidden="1" x14ac:dyDescent="0.2"/>
    <row r="72" spans="1:1" hidden="1" x14ac:dyDescent="0.2"/>
    <row r="73" spans="1:1" hidden="1" x14ac:dyDescent="0.2"/>
    <row r="74" spans="1:1" hidden="1" x14ac:dyDescent="0.2"/>
    <row r="75" spans="1:1" hidden="1" x14ac:dyDescent="0.2"/>
    <row r="76" spans="1:1" hidden="1" x14ac:dyDescent="0.2"/>
  </sheetData>
  <sheetProtection password="CAD0" sheet="1" objects="1" scenarios="1"/>
  <mergeCells count="2">
    <mergeCell ref="B2:M2"/>
    <mergeCell ref="N2:O2"/>
  </mergeCells>
  <conditionalFormatting sqref="A1:XFD1048576">
    <cfRule type="expression" dxfId="0" priority="1">
      <formula>$A$69 = 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mtDocumentsCT" ma:contentTypeID="0x010100C568DB52D9D0A14D9B2FDCC96666E9F2007948130EC3DB064584E219954237AF39050108010038E436025776714BB060DB26E4C71BD8" ma:contentTypeVersion="84" ma:contentTypeDescription="" ma:contentTypeScope="" ma:versionID="e2e8a0f023205fcadae131763a22c4fd">
  <xsd:schema xmlns:xsd="http://www.w3.org/2001/XMLSchema" xmlns:xs="http://www.w3.org/2001/XMLSchema" xmlns:p="http://schemas.microsoft.com/office/2006/metadata/properties" xmlns:ns1="http://schemas.microsoft.com/sharepoint/v3" xmlns:ns2="605e85f2-268e-450d-9afb-d305d42b267e" xmlns:ns3="http://schemas.microsoft.com/sharepoint/v4" xmlns:ns4="66d4f5a1-0dd0-43d9-9f6c-c5ab407d47a8" targetNamespace="http://schemas.microsoft.com/office/2006/metadata/properties" ma:root="true" ma:fieldsID="1aa5e1d7622155837454eaf48ccf377c" ns1:_="" ns2:_="" ns3:_="" ns4:_="">
    <xsd:import namespace="http://schemas.microsoft.com/sharepoint/v3"/>
    <xsd:import namespace="605e85f2-268e-450d-9afb-d305d42b267e"/>
    <xsd:import namespace="http://schemas.microsoft.com/sharepoint/v4"/>
    <xsd:import namespace="66d4f5a1-0dd0-43d9-9f6c-c5ab407d47a8"/>
    <xsd:element name="properties">
      <xsd:complexType>
        <xsd:sequence>
          <xsd:element name="documentManagement">
            <xsd:complexType>
              <xsd:all>
                <xsd:element ref="ns2:GovXMainTitle" minOccurs="0"/>
                <xsd:element ref="ns2:GovXDescription" minOccurs="0"/>
                <xsd:element ref="ns2:GovXDescriptionImg" minOccurs="0"/>
                <xsd:element ref="ns2:GovXContentSection" minOccurs="0"/>
                <xsd:element ref="ns1:PublishingStartDate" minOccurs="0"/>
                <xsd:element ref="ns1:PublishingExpirationDate" minOccurs="0"/>
                <xsd:element ref="ns1:PublishingContact" minOccurs="0"/>
                <xsd:element ref="ns1:PublishingContactEmail" minOccurs="0"/>
                <xsd:element ref="ns1:PublishingContactName" minOccurs="0"/>
                <xsd:element ref="ns1:PublishingContactPicture" minOccurs="0"/>
                <xsd:element ref="ns1:PublishingRollupImage" minOccurs="0"/>
                <xsd:element ref="ns1:Audience" minOccurs="0"/>
                <xsd:element ref="ns2:GovXEventDate" minOccurs="0"/>
                <xsd:element ref="ns2:GovXRobotsFollow" minOccurs="0"/>
                <xsd:element ref="ns2:GovXRobotsIndex" minOccurs="0"/>
                <xsd:element ref="ns2:GovXLanguage" minOccurs="0"/>
                <xsd:element ref="ns2:NewStatus" minOccurs="0"/>
                <xsd:element ref="ns2:MMDSubjectsTaxHTField0" minOccurs="0"/>
                <xsd:element ref="ns2:MMDAudienceTaxHTField0" minOccurs="0"/>
                <xsd:element ref="ns1:PublishingPageLayout" minOccurs="0"/>
                <xsd:element ref="ns1:PublishingVariationGroupID" minOccurs="0"/>
                <xsd:element ref="ns1:PublishingVariationRelationshipLinkFieldID" minOccurs="0"/>
                <xsd:element ref="ns2:TaxCatchAll" minOccurs="0"/>
                <xsd:element ref="ns2:TaxCatchAllLabel" minOccurs="0"/>
                <xsd:element ref="ns2:hd629a283e1e41e7b148932bae66dfc5" minOccurs="0"/>
                <xsd:element ref="ns2:MMDTypesTaxHTField0" minOccurs="0"/>
                <xsd:element ref="ns3:IconOverlay" minOccurs="0"/>
                <xsd:element ref="ns1:URL" minOccurs="0"/>
                <xsd:element ref="ns2:MMDUnitsNameTaxHTField0" minOccurs="0"/>
                <xsd:element ref="ns2:RelatedUnits" minOccurs="0"/>
                <xsd:element ref="ns4:Hamadan" minOccurs="0"/>
                <xsd:element ref="ns4:StepMadaan" minOccurs="0"/>
                <xsd:element ref="ns4:RelevantProcedure" minOccurs="0"/>
                <xsd:element ref="ns2:HiddenURL" minOccurs="0"/>
                <xsd:element ref="ns4:MaslolimMerkazHashkaot" minOccurs="0"/>
                <xsd:element ref="ns2:MMDKeywords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מתזמן תאריך התחלה" ma:hidden="true" ma:internalName="PublishingStartDate" ma:readOnly="false">
      <xsd:simpleType>
        <xsd:restriction base="dms:Unknown"/>
      </xsd:simpleType>
    </xsd:element>
    <xsd:element name="PublishingExpirationDate" ma:index="11" nillable="true" ma:displayName="מתזמן תאריך סיום" ma:hidden="true" ma:internalName="PublishingExpirationDate" ma:readOnly="false">
      <xsd:simpleType>
        <xsd:restriction base="dms:Unknown"/>
      </xsd:simpleType>
    </xsd:element>
    <xsd:element name="PublishingContact" ma:index="12" nillable="true" ma:displayName="איש קשר" ma:hidden="true" ma:list="UserInfo" ma:internalName="PublishingContact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ingContactEmail" ma:index="13" nillable="true" ma:displayName="כתובת הדואר האלקטרוני של איש הקשר" ma:hidden="true" ma:internalName="PublishingContactEmail" ma:readOnly="false">
      <xsd:simpleType>
        <xsd:restriction base="dms:Text">
          <xsd:maxLength value="255"/>
        </xsd:restriction>
      </xsd:simpleType>
    </xsd:element>
    <xsd:element name="PublishingContactName" ma:index="14" nillable="true" ma:displayName="שם איש קשר" ma:hidden="true" ma:internalName="PublishingContactName" ma:readOnly="false">
      <xsd:simpleType>
        <xsd:restriction base="dms:Text">
          <xsd:maxLength value="255"/>
        </xsd:restriction>
      </xsd:simpleType>
    </xsd:element>
    <xsd:element name="PublishingContactPicture" ma:index="15" nillable="true" ma:displayName="תמונת איש הקשר" ma:format="Image" ma:hidden="true" ma:internalName="PublishingContactPictur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RollupImage" ma:index="16" nillable="true" ma:displayName="תמונת סיכום" ma:hidden="true" ma:internalName="PublishingRollupImage" ma:readOnly="false">
      <xsd:simpleType>
        <xsd:restriction base="dms:Unknown"/>
      </xsd:simpleType>
    </xsd:element>
    <xsd:element name="Audience" ma:index="17" nillable="true" ma:displayName="קהלי יעד" ma:description="" ma:hidden="true" ma:internalName="Audience" ma:readOnly="false">
      <xsd:simpleType>
        <xsd:restriction base="dms:Unknown"/>
      </xsd:simpleType>
    </xsd:element>
    <xsd:element name="PublishingPageLayout" ma:index="27" nillable="true" ma:displayName="פריסת דף" ma:internalName="PublishingPageLayout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VariationGroupID" ma:index="28" nillable="true" ma:displayName="מזהה קבוצת וריאציות" ma:hidden="true" ma:internalName="PublishingVariationGroupID">
      <xsd:simpleType>
        <xsd:restriction base="dms:Text">
          <xsd:maxLength value="255"/>
        </xsd:restriction>
      </xsd:simpleType>
    </xsd:element>
    <xsd:element name="PublishingVariationRelationshipLinkFieldID" ma:index="29" nillable="true" ma:displayName="קישור יחסי גומלין של וריאציות" ma:hidden="true" ma:internalName="PublishingVariationRelationshipLinkFieldID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URL" ma:index="39" nillable="true" ma:displayName="כתובת URL" ma:internalName="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5e85f2-268e-450d-9afb-d305d42b267e" elementFormDefault="qualified">
    <xsd:import namespace="http://schemas.microsoft.com/office/2006/documentManagement/types"/>
    <xsd:import namespace="http://schemas.microsoft.com/office/infopath/2007/PartnerControls"/>
    <xsd:element name="GovXMainTitle" ma:index="2" nillable="true" ma:displayName="שם השירות" ma:internalName="GovXMainTitle">
      <xsd:simpleType>
        <xsd:restriction base="dms:Text">
          <xsd:maxLength value="255"/>
        </xsd:restriction>
      </xsd:simpleType>
    </xsd:element>
    <xsd:element name="GovXDescription" ma:index="3" nillable="true" ma:displayName="GovXDescription" ma:internalName="GovXDescription">
      <xsd:simpleType>
        <xsd:restriction base="dms:Note">
          <xsd:maxLength value="255"/>
        </xsd:restriction>
      </xsd:simpleType>
    </xsd:element>
    <xsd:element name="GovXDescriptionImg" ma:index="7" nillable="true" ma:displayName="GovXDescriptionImg" ma:internalName="GovXDescriptionImg">
      <xsd:simpleType>
        <xsd:restriction base="dms:Unknown"/>
      </xsd:simpleType>
    </xsd:element>
    <xsd:element name="GovXContentSection" ma:index="8" nillable="true" ma:displayName="תקציר הדף" ma:hidden="true" ma:internalName="GovXContentSection" ma:readOnly="false">
      <xsd:simpleType>
        <xsd:restriction base="dms:Unknown"/>
      </xsd:simpleType>
    </xsd:element>
    <xsd:element name="GovXEventDate" ma:index="18" nillable="true" ma:displayName="GovXEventDate" ma:format="DateTime" ma:hidden="true" ma:internalName="GovXEventDate" ma:readOnly="false">
      <xsd:simpleType>
        <xsd:restriction base="dms:DateTime"/>
      </xsd:simpleType>
    </xsd:element>
    <xsd:element name="GovXRobotsFollow" ma:index="19" nillable="true" ma:displayName="GovXRobotsFollow" ma:default="1" ma:internalName="GovXRobotsFollow">
      <xsd:simpleType>
        <xsd:restriction base="dms:Boolean"/>
      </xsd:simpleType>
    </xsd:element>
    <xsd:element name="GovXRobotsIndex" ma:index="20" nillable="true" ma:displayName="GovXRobotsIndex" ma:default="1" ma:internalName="GovXRobotsIndex">
      <xsd:simpleType>
        <xsd:restriction base="dms:Boolean"/>
      </xsd:simpleType>
    </xsd:element>
    <xsd:element name="GovXLanguage" ma:index="21" nillable="true" ma:displayName="GovXLanguage" ma:internalName="GovXLanguage">
      <xsd:simpleType>
        <xsd:restriction base="dms:Unknown"/>
      </xsd:simpleType>
    </xsd:element>
    <xsd:element name="NewStatus" ma:index="22" nillable="true" ma:displayName="NewStatus" ma:hidden="true" ma:internalName="NewStatus" ma:readOnly="false">
      <xsd:simpleType>
        <xsd:restriction base="dms:Text"/>
      </xsd:simpleType>
    </xsd:element>
    <xsd:element name="MMDSubjectsTaxHTField0" ma:index="24" nillable="true" ma:taxonomy="true" ma:internalName="MMDSubjectsTaxHTField0" ma:taxonomyFieldName="MMDSubjects" ma:displayName="נושאים" ma:readOnly="false" ma:default="" ma:fieldId="{d4be236a-0356-4000-8c21-7c99900f1b40}" ma:taxonomyMulti="true" ma:sspId="2d5cfe0b-92d6-45e7-9728-978dd18bac77" ma:termSetId="a239ac66-6e19-4894-9a6d-0b635cdc56b4" ma:anchorId="3d199f33-0334-4fb9-a28c-1825654b603d" ma:open="false" ma:isKeyword="false">
      <xsd:complexType>
        <xsd:sequence>
          <xsd:element ref="pc:Terms" minOccurs="0" maxOccurs="1"/>
        </xsd:sequence>
      </xsd:complexType>
    </xsd:element>
    <xsd:element name="MMDAudienceTaxHTField0" ma:index="26" nillable="true" ma:taxonomy="true" ma:internalName="MMDAudienceTaxHTField0" ma:taxonomyFieldName="MMDAudience" ma:displayName="MMDAudience" ma:default="" ma:fieldId="{3c15929f-8c37-40c6-8d45-39d2a27c8ebd}" ma:taxonomyMulti="true" ma:sspId="2d5cfe0b-92d6-45e7-9728-978dd18bac77" ma:termSetId="a239ac66-6e19-4894-9a6d-0b635cdc56b4" ma:anchorId="293e6317-d625-4045-86b8-b7c79c02edb4" ma:open="false" ma:isKeyword="false">
      <xsd:complexType>
        <xsd:sequence>
          <xsd:element ref="pc:Terms" minOccurs="0" maxOccurs="1"/>
        </xsd:sequence>
      </xsd:complexType>
    </xsd:element>
    <xsd:element name="TaxCatchAll" ma:index="34" nillable="true" ma:displayName="עמודת 'תפוס הכל' של טקסונומיה" ma:hidden="true" ma:list="{4ea5708e-0740-470e-a7ce-b06ee08034f5}" ma:internalName="TaxCatchAll" ma:showField="CatchAllData" ma:web="605e85f2-268e-450d-9afb-d305d42b26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5" nillable="true" ma:displayName="עמודת 'תפוס הכל' של טקסונומיה1" ma:hidden="true" ma:list="{4ea5708e-0740-470e-a7ce-b06ee08034f5}" ma:internalName="TaxCatchAllLabel" ma:readOnly="true" ma:showField="CatchAllDataLabel" ma:web="605e85f2-268e-450d-9afb-d305d42b26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d629a283e1e41e7b148932bae66dfc5" ma:index="36" nillable="true" ma:taxonomy="true" ma:internalName="hd629a283e1e41e7b148932bae66dfc5" ma:taxonomyFieldName="MMDRelatedUnits" ma:displayName="יחידות קשורות" ma:default="" ma:fieldId="{1d629a28-3e1e-41e7-b148-932bae66dfc5}" ma:taxonomyMulti="true" ma:sspId="2d5cfe0b-92d6-45e7-9728-978dd18bac77" ma:termSetId="a239ac66-6e19-4894-9a6d-0b635cdc56b4" ma:anchorId="3bedd0f0-7648-42b6-8482-dc552c7f0340" ma:open="false" ma:isKeyword="false">
      <xsd:complexType>
        <xsd:sequence>
          <xsd:element ref="pc:Terms" minOccurs="0" maxOccurs="1"/>
        </xsd:sequence>
      </xsd:complexType>
    </xsd:element>
    <xsd:element name="MMDTypesTaxHTField0" ma:index="37" nillable="true" ma:taxonomy="true" ma:internalName="MMDTypesTaxHTField0" ma:taxonomyFieldName="MMDTypes" ma:displayName="סוג מסמך" ma:default="" ma:fieldId="{fa0486b9-0a56-4dae-8d9d-1d0e3ed62ab8}" ma:sspId="2d5cfe0b-92d6-45e7-9728-978dd18bac77" ma:termSetId="a239ac66-6e19-4894-9a6d-0b635cdc56b4" ma:anchorId="b004abf7-d52f-4e04-bc60-f14f3738b736" ma:open="false" ma:isKeyword="false">
      <xsd:complexType>
        <xsd:sequence>
          <xsd:element ref="pc:Terms" minOccurs="0" maxOccurs="1"/>
        </xsd:sequence>
      </xsd:complexType>
    </xsd:element>
    <xsd:element name="MMDUnitsNameTaxHTField0" ma:index="41" nillable="true" ma:taxonomy="true" ma:internalName="MMDUnitsNameTaxHTField0" ma:taxonomyFieldName="MMDUnitsName" ma:displayName="MMDUnitsName" ma:readOnly="false" ma:default="" ma:fieldId="{650b01ae-ebd3-442b-8817-15405c5daf08}" ma:sspId="2d5cfe0b-92d6-45e7-9728-978dd18bac77" ma:termSetId="a239ac66-6e19-4894-9a6d-0b635cdc56b4" ma:anchorId="3bedd0f0-7648-42b6-8482-dc552c7f0340" ma:open="false" ma:isKeyword="false">
      <xsd:complexType>
        <xsd:sequence>
          <xsd:element ref="pc:Terms" minOccurs="0" maxOccurs="1"/>
        </xsd:sequence>
      </xsd:complexType>
    </xsd:element>
    <xsd:element name="RelatedUnits" ma:index="42" nillable="true" ma:displayName="RelatedUnits" ma:hidden="true" ma:internalName="RelatedUnits" ma:readOnly="false">
      <xsd:simpleType>
        <xsd:restriction base="dms:Unknown"/>
      </xsd:simpleType>
    </xsd:element>
    <xsd:element name="HiddenURL" ma:index="46" nillable="true" ma:displayName="HiddenURL" ma:format="Hyperlink" ma:internalName="Hidden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MDKeywordsTaxHTField0" ma:index="49" nillable="true" ma:taxonomy="true" ma:internalName="MMDKeywordsTaxHTField0" ma:taxonomyFieldName="MMDKeywords" ma:displayName="MMDKeywords" ma:default="" ma:fieldId="{14078ffa-c3ef-405c-99c7-77c66477e901}" ma:taxonomyMulti="true" ma:sspId="2d5cfe0b-92d6-45e7-9728-978dd18bac77" ma:termSetId="a239ac66-6e19-4894-9a6d-0b635cdc56b4" ma:anchorId="b97634dc-aac3-4b49-82c1-8f6ffe388c62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8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d4f5a1-0dd0-43d9-9f6c-c5ab407d47a8" elementFormDefault="qualified">
    <xsd:import namespace="http://schemas.microsoft.com/office/2006/documentManagement/types"/>
    <xsd:import namespace="http://schemas.microsoft.com/office/infopath/2007/PartnerControls"/>
    <xsd:element name="Hamadan" ma:index="43" nillable="true" ma:displayName="תכנית" ma:format="Dropdown" ma:internalName="Hamadan">
      <xsd:simpleType>
        <xsd:restriction base="dms:Choice">
          <xsd:enumeration value="קרן המופ"/>
          <xsd:enumeration value="החממות הטכנולוגיות"/>
          <xsd:enumeration value="מסלולי מגנ&quot;ט"/>
          <xsd:enumeration value="מסלולים בינלאומיים"/>
          <xsd:enumeration value="תנופה"/>
          <xsd:enumeration value="מיסוי והשקעות"/>
          <xsd:enumeration value="קרן תמורה"/>
          <xsd:enumeration value="ויזות חדשנות"/>
        </xsd:restriction>
      </xsd:simpleType>
    </xsd:element>
    <xsd:element name="StepMadaan" ma:index="44" nillable="true" ma:displayName="שלב בתהליך" ma:format="Dropdown" ma:internalName="StepMadaan">
      <xsd:simpleType>
        <xsd:restriction base="dms:Choice">
          <xsd:enumeration value="אישור"/>
          <xsd:enumeration value="בדיקה"/>
          <xsd:enumeration value="בקשה"/>
          <xsd:enumeration value="סגירה"/>
          <xsd:enumeration value="תמלוגים"/>
          <xsd:enumeration value="ביצוע"/>
          <xsd:enumeration value="מיסוי והשקעות"/>
          <xsd:enumeration value="ערעור"/>
          <xsd:enumeration value="בנק"/>
        </xsd:restriction>
      </xsd:simpleType>
    </xsd:element>
    <xsd:element name="RelevantProcedure" ma:index="45" nillable="true" ma:displayName="RelevantProcedure" ma:description="נוהל קשור" ma:internalName="RelevantProcedure">
      <xsd:simpleType>
        <xsd:restriction base="dms:Unknown"/>
      </xsd:simpleType>
    </xsd:element>
    <xsd:element name="MaslolimMerkazHashkaot" ma:index="47" nillable="true" ma:displayName="מסלולים" ma:description="לכאו יש להזין שמות מסלולים של מרכז ההשקעות" ma:format="Dropdown" ma:internalName="MaslolimMerkazHashkaot">
      <xsd:simpleType>
        <xsd:restriction base="dms:Choice">
          <xsd:enumeration value="מסלול מענקים"/>
          <xsd:enumeration value="מסלולי תעסוקה"/>
          <xsd:enumeration value="מסלולי כלכלה ירוקה"/>
          <xsd:enumeration value="השכרה למגורים"/>
          <xsd:enumeration value="מסלולים מיוחדים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3" ma:displayName="סוג תוכן"/>
        <xsd:element ref="dc:title" minOccurs="0" maxOccurs="1" ma:index="1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Contact xmlns="http://schemas.microsoft.com/sharepoint/v3">
      <UserInfo>
        <DisplayName/>
        <AccountId xsi:nil="true"/>
        <AccountType/>
      </UserInfo>
    </PublishingContact>
    <Hamadan xmlns="66d4f5a1-0dd0-43d9-9f6c-c5ab407d47a8">קרן המופ</Hamadan>
    <GovXEventDate xmlns="605e85f2-268e-450d-9afb-d305d42b267e" xsi:nil="true"/>
    <GovXRobotsFollow xmlns="605e85f2-268e-450d-9afb-d305d42b267e">true</GovXRobotsFollow>
    <PublishingRollupImage xmlns="http://schemas.microsoft.com/sharepoint/v3" xsi:nil="true"/>
    <URL xmlns="http://schemas.microsoft.com/sharepoint/v3">
      <Url xsi:nil="true"/>
      <Description xsi:nil="true"/>
    </URL>
    <MMDTypesTaxHTField0 xmlns="605e85f2-268e-450d-9afb-d305d42b267e">
      <Terms xmlns="http://schemas.microsoft.com/office/infopath/2007/PartnerControls">
        <TermInfo xmlns="http://schemas.microsoft.com/office/infopath/2007/PartnerControls">
          <TermName xmlns="http://schemas.microsoft.com/office/infopath/2007/PartnerControls">טופס פיזי</TermName>
          <TermId xmlns="http://schemas.microsoft.com/office/infopath/2007/PartnerControls">7ca24818-2b6d-4f44-918e-2e7db6c243f2</TermId>
        </TermInfo>
      </Terms>
    </MMDTypesTaxHTField0>
    <PublishingContactEmail xmlns="http://schemas.microsoft.com/sharepoint/v3" xsi:nil="true"/>
    <NewStatus xmlns="605e85f2-268e-450d-9afb-d305d42b267e">DonotShow</NewStatus>
    <MMDSubjectsTaxHTField0 xmlns="605e85f2-268e-450d-9afb-d305d42b267e">
      <Terms xmlns="http://schemas.microsoft.com/office/infopath/2007/PartnerControls">
        <TermInfo xmlns="http://schemas.microsoft.com/office/infopath/2007/PartnerControls">
          <TermName xmlns="http://schemas.microsoft.com/office/infopath/2007/PartnerControls">מחקר ופיתוח</TermName>
          <TermId xmlns="http://schemas.microsoft.com/office/infopath/2007/PartnerControls">3e648f8a-743e-4cc0-a40a-3063a19707eb</TermId>
        </TermInfo>
      </Terms>
    </MMDSubjectsTaxHTField0>
    <GovXLanguage xmlns="605e85f2-268e-450d-9afb-d305d42b267e">heIL</GovXLanguage>
    <PublishingStartDate xmlns="http://schemas.microsoft.com/sharepoint/v3" xsi:nil="true"/>
    <RelevantProcedure xmlns="66d4f5a1-0dd0-43d9-9f6c-c5ab407d47a8" xsi:nil="true"/>
    <GovXMainTitle xmlns="605e85f2-268e-450d-9afb-d305d42b267e">תקציב לבקשות 2017 מעל 50 עובדים</GovXMainTitle>
    <hd629a283e1e41e7b148932bae66dfc5 xmlns="605e85f2-268e-450d-9afb-d305d42b267e">
      <Terms xmlns="http://schemas.microsoft.com/office/infopath/2007/PartnerControls">
        <TermInfo xmlns="http://schemas.microsoft.com/office/infopath/2007/PartnerControls">
          <TermName xmlns="http://schemas.microsoft.com/office/infopath/2007/PartnerControls">המדען הראשי</TermName>
          <TermId xmlns="http://schemas.microsoft.com/office/infopath/2007/PartnerControls">44ceba6c-a312-49a8-b6d7-8bc9b6fc6cc6</TermId>
        </TermInfo>
      </Terms>
    </hd629a283e1e41e7b148932bae66dfc5>
    <PublishingVariationRelationshipLinkFieldID xmlns="http://schemas.microsoft.com/sharepoint/v3">
      <Url xsi:nil="true"/>
      <Description xsi:nil="true"/>
    </PublishingVariationRelationshipLinkFieldID>
    <RelatedUnits xmlns="605e85f2-268e-450d-9afb-d305d42b267e" xsi:nil="true"/>
    <TaxCatchAll xmlns="605e85f2-268e-450d-9afb-d305d42b267e">
      <Value>207</Value>
      <Value>84</Value>
      <Value>58</Value>
    </TaxCatchAll>
    <MaslolimMerkazHashkaot xmlns="66d4f5a1-0dd0-43d9-9f6c-c5ab407d47a8" xsi:nil="true"/>
    <MMDAudienceTaxHTField0 xmlns="605e85f2-268e-450d-9afb-d305d42b267e">
      <Terms xmlns="http://schemas.microsoft.com/office/infopath/2007/PartnerControls"/>
    </MMDAudienceTaxHTField0>
    <GovXContentSection xmlns="605e85f2-268e-450d-9afb-d305d42b267e" xsi:nil="true"/>
    <Audience xmlns="http://schemas.microsoft.com/sharepoint/v3" xsi:nil="true"/>
    <MMDUnitsNameTaxHTField0 xmlns="605e85f2-268e-450d-9afb-d305d42b267e">
      <Terms xmlns="http://schemas.microsoft.com/office/infopath/2007/PartnerControls"/>
    </MMDUnitsNameTaxHTField0>
    <GovXDescription xmlns="605e85f2-268e-450d-9afb-d305d42b267e" xsi:nil="true"/>
    <GovXDescriptionImg xmlns="605e85f2-268e-450d-9afb-d305d42b267e" xsi:nil="true"/>
    <StepMadaan xmlns="66d4f5a1-0dd0-43d9-9f6c-c5ab407d47a8">בקשה</StepMadaan>
    <IconOverlay xmlns="http://schemas.microsoft.com/sharepoint/v4" xsi:nil="true"/>
    <PublishingVariationGroupID xmlns="http://schemas.microsoft.com/sharepoint/v3" xsi:nil="true"/>
    <PublishingContactPicture xmlns="http://schemas.microsoft.com/sharepoint/v3">
      <Url xsi:nil="true"/>
      <Description xsi:nil="true"/>
    </PublishingContactPicture>
    <PublishingExpirationDate xmlns="http://schemas.microsoft.com/sharepoint/v3" xsi:nil="true"/>
    <GovXRobotsIndex xmlns="605e85f2-268e-450d-9afb-d305d42b267e">true</GovXRobotsIndex>
    <HiddenURL xmlns="605e85f2-268e-450d-9afb-d305d42b267e">
      <Url xsi:nil="true"/>
      <Description xsi:nil="true"/>
    </HiddenURL>
    <MMDKeywordsTaxHTField0 xmlns="605e85f2-268e-450d-9afb-d305d42b267e">
      <Terms xmlns="http://schemas.microsoft.com/office/infopath/2007/PartnerControls"/>
    </MMDKeywordsTaxHTField0>
    <PublishingContactNam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2DC1095-FD65-4AE3-A7F8-E96CE23453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05e85f2-268e-450d-9afb-d305d42b267e"/>
    <ds:schemaRef ds:uri="http://schemas.microsoft.com/sharepoint/v4"/>
    <ds:schemaRef ds:uri="66d4f5a1-0dd0-43d9-9f6c-c5ab407d47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62F27A0-F53E-4BDD-9F41-3AE82564B78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2B984CB-7AA4-4F5D-919A-B899287ED44B}">
  <ds:schemaRefs>
    <ds:schemaRef ds:uri="http://schemas.microsoft.com/office/2006/documentManagement/types"/>
    <ds:schemaRef ds:uri="http://schemas.microsoft.com/sharepoint/v4"/>
    <ds:schemaRef ds:uri="http://purl.org/dc/elements/1.1/"/>
    <ds:schemaRef ds:uri="605e85f2-268e-450d-9afb-d305d42b267e"/>
    <ds:schemaRef ds:uri="http://purl.org/dc/terms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sharepoint/v3"/>
    <ds:schemaRef ds:uri="66d4f5a1-0dd0-43d9-9f6c-c5ab407d47a8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9</vt:i4>
      </vt:variant>
      <vt:variant>
        <vt:lpstr>טווחים בעלי שם</vt:lpstr>
      </vt:variant>
      <vt:variant>
        <vt:i4>44</vt:i4>
      </vt:variant>
    </vt:vector>
  </HeadingPairs>
  <TitlesOfParts>
    <vt:vector size="53" baseType="lpstr">
      <vt:lpstr>ראשי-פרטים כלליים וריכוז הוצאות</vt:lpstr>
      <vt:lpstr>כח אדם - שכר</vt:lpstr>
      <vt:lpstr>חומרים </vt:lpstr>
      <vt:lpstr>קבלני משנה </vt:lpstr>
      <vt:lpstr>שונות</vt:lpstr>
      <vt:lpstr>ציוד</vt:lpstr>
      <vt:lpstr>שיווק</vt:lpstr>
      <vt:lpstr>ציוד ייעודי</vt:lpstr>
      <vt:lpstr>תקציב בחתך משימות</vt:lpstr>
      <vt:lpstr>_01_02</vt:lpstr>
      <vt:lpstr>haarot_takzivim</vt:lpstr>
      <vt:lpstr>hachlatat_vaada</vt:lpstr>
      <vt:lpstr>homarim_achuz_tkura</vt:lpstr>
      <vt:lpstr>homarim_kamut</vt:lpstr>
      <vt:lpstr>homarim_takziv</vt:lpstr>
      <vt:lpstr>homarim_teur</vt:lpstr>
      <vt:lpstr>kablanim_hearot</vt:lpstr>
      <vt:lpstr>kablanim_location</vt:lpstr>
      <vt:lpstr>kablanim_takziv</vt:lpstr>
      <vt:lpstr>kablanim_teur</vt:lpstr>
      <vt:lpstr>kablanim_toar</vt:lpstr>
      <vt:lpstr>koah_adam_achuz</vt:lpstr>
      <vt:lpstr>KOAH_ADAM_ACHUZ_MISRA</vt:lpstr>
      <vt:lpstr>koah_adam_code_sachar</vt:lpstr>
      <vt:lpstr>koah_adam_cost</vt:lpstr>
      <vt:lpstr>koah_adam_limit_cost</vt:lpstr>
      <vt:lpstr>koah_adam_mispar_hodashim</vt:lpstr>
      <vt:lpstr>koah_adam_tafkid</vt:lpstr>
      <vt:lpstr>koah_adam_takziv</vt:lpstr>
      <vt:lpstr>koah_adam_teur</vt:lpstr>
      <vt:lpstr>koah_adam_toar</vt:lpstr>
      <vt:lpstr>Shivuk_Takziv</vt:lpstr>
      <vt:lpstr>Shivuk_Teur</vt:lpstr>
      <vt:lpstr>shonot_takziv</vt:lpstr>
      <vt:lpstr>shonot_teur</vt:lpstr>
      <vt:lpstr>takzivim_mumlazim</vt:lpstr>
      <vt:lpstr>takzivim_teur</vt:lpstr>
      <vt:lpstr>'חומרים '!WPrint_TitlesW</vt:lpstr>
      <vt:lpstr>'כח אדם - שכר'!WPrint_TitlesW</vt:lpstr>
      <vt:lpstr>ציוד!WPrint_TitlesW</vt:lpstr>
      <vt:lpstr>'קבלני משנה '!WPrint_TitlesW</vt:lpstr>
      <vt:lpstr>שונות!WPrint_TitlesW</vt:lpstr>
      <vt:lpstr>ziyud_cost</vt:lpstr>
      <vt:lpstr>ziyud_kamut</vt:lpstr>
      <vt:lpstr>ziyud_mispar_hodashim</vt:lpstr>
      <vt:lpstr>ziyud_takziv</vt:lpstr>
      <vt:lpstr>ziyud_teur</vt:lpstr>
      <vt:lpstr>'כח אדם - שכר'!טקסט1</vt:lpstr>
      <vt:lpstr>עדתאריך</vt:lpstr>
      <vt:lpstr>קוד_שכר</vt:lpstr>
      <vt:lpstr>רבעון</vt:lpstr>
      <vt:lpstr>רבעון_ראשון</vt:lpstr>
      <vt:lpstr>תאריך</vt:lpstr>
    </vt:vector>
  </TitlesOfParts>
  <Company>madaan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תקציב לבקשות 2017 מעל 50 עובדים</dc:title>
  <dc:creator>Ran Yehezkel</dc:creator>
  <cp:lastModifiedBy>Ayala Zuaretz</cp:lastModifiedBy>
  <cp:lastPrinted>2011-02-21T08:19:59Z</cp:lastPrinted>
  <dcterms:created xsi:type="dcterms:W3CDTF">2002-05-26T08:20:42Z</dcterms:created>
  <dcterms:modified xsi:type="dcterms:W3CDTF">2019-03-18T15:00:21Z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56500</vt:r8>
  </property>
  <property fmtid="{D5CDD505-2E9C-101B-9397-08002B2CF9AE}" pid="3" name="MMDRelatedUnits">
    <vt:lpwstr>58;#המדען הראשי|44ceba6c-a312-49a8-b6d7-8bc9b6fc6cc6</vt:lpwstr>
  </property>
  <property fmtid="{D5CDD505-2E9C-101B-9397-08002B2CF9AE}" pid="4" name="MMDUnitsName">
    <vt:lpwstr/>
  </property>
  <property fmtid="{D5CDD505-2E9C-101B-9397-08002B2CF9AE}" pid="5" name="ContentTypeId">
    <vt:lpwstr>0x010100C568DB52D9D0A14D9B2FDCC96666E9F2007948130EC3DB064584E219954237AF39050108010038E436025776714BB060DB26E4C71BD8</vt:lpwstr>
  </property>
  <property fmtid="{D5CDD505-2E9C-101B-9397-08002B2CF9AE}" pid="6" name="MMDKeywords">
    <vt:lpwstr/>
  </property>
  <property fmtid="{D5CDD505-2E9C-101B-9397-08002B2CF9AE}" pid="7" name="MMDAudience">
    <vt:lpwstr/>
  </property>
  <property fmtid="{D5CDD505-2E9C-101B-9397-08002B2CF9AE}" pid="8" name="MMDSubjects">
    <vt:lpwstr>84;#מחקר ופיתוח|3e648f8a-743e-4cc0-a40a-3063a19707eb</vt:lpwstr>
  </property>
  <property fmtid="{D5CDD505-2E9C-101B-9397-08002B2CF9AE}" pid="9" name="MMDTypes">
    <vt:lpwstr>207;#טופס פיזי|7ca24818-2b6d-4f44-918e-2e7db6c243f2</vt:lpwstr>
  </property>
</Properties>
</file>