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13_ncr:1_{D2BE1B6B-EB7A-4F58-AD30-54DE85B002B8}" xr6:coauthVersionLast="47" xr6:coauthVersionMax="47" xr10:uidLastSave="{00000000-0000-0000-0000-000000000000}"/>
  <bookViews>
    <workbookView xWindow="-120" yWindow="-120" windowWidth="29040" windowHeight="15840" firstSheet="3" activeTab="3" xr2:uid="{00000000-000D-0000-FFFF-FFFF00000000}"/>
  </bookViews>
  <sheets>
    <sheet name="יוני" sheetId="32" state="hidden" r:id="rId1"/>
    <sheet name="דוח החרגות" sheetId="28" state="hidden" r:id="rId2"/>
    <sheet name="דוח פניות לאוצר 2021" sheetId="24" state="hidden" r:id="rId3"/>
    <sheet name="יולי" sheetId="33" r:id="rId4"/>
  </sheets>
  <externalReferences>
    <externalReference r:id="rId5"/>
    <externalReference r:id="rId6"/>
    <externalReference r:id="rId7"/>
    <externalReference r:id="rId8"/>
  </externalReferences>
  <definedNames>
    <definedName name="נספח_ב" localSheetId="3">יולי!#REF!</definedName>
    <definedName name="נספח_ב" localSheetId="0">יוני!#REF!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3" l="1"/>
  <c r="D18" i="33"/>
  <c r="N29" i="28"/>
  <c r="D8" i="28"/>
  <c r="N11" i="28"/>
  <c r="J2" i="24"/>
  <c r="J3" i="24"/>
  <c r="J4" i="24"/>
  <c r="J5" i="24"/>
  <c r="J6" i="24"/>
  <c r="J7" i="24"/>
  <c r="J8" i="24"/>
  <c r="J9" i="24"/>
  <c r="J10" i="24"/>
  <c r="J11" i="24"/>
  <c r="O28" i="28"/>
  <c r="F28" i="28"/>
  <c r="D28" i="28"/>
  <c r="O27" i="28"/>
  <c r="F27" i="28"/>
  <c r="O26" i="28"/>
  <c r="F26" i="28"/>
  <c r="D26" i="28"/>
  <c r="O25" i="28"/>
  <c r="F25" i="28"/>
  <c r="O24" i="28"/>
  <c r="F24" i="28"/>
  <c r="O23" i="28"/>
  <c r="F23" i="28"/>
  <c r="D23" i="28"/>
  <c r="O22" i="28"/>
  <c r="F22" i="28"/>
  <c r="O21" i="28"/>
  <c r="F21" i="28"/>
  <c r="F20" i="28"/>
  <c r="D20" i="28"/>
  <c r="O20" i="28" s="1"/>
  <c r="O19" i="28"/>
  <c r="F19" i="28"/>
  <c r="O18" i="28"/>
  <c r="N18" i="28"/>
  <c r="F18" i="28"/>
  <c r="D18" i="28"/>
  <c r="O17" i="28"/>
  <c r="F17" i="28"/>
  <c r="D17" i="28"/>
  <c r="O16" i="28"/>
  <c r="F16" i="28"/>
  <c r="O15" i="28"/>
  <c r="F15" i="28"/>
  <c r="O14" i="28"/>
  <c r="F14" i="28"/>
  <c r="D14" i="28"/>
  <c r="O13" i="28"/>
  <c r="F13" i="28"/>
  <c r="O12" i="28"/>
  <c r="F12" i="28"/>
  <c r="D12" i="28"/>
  <c r="O11" i="28"/>
  <c r="F11" i="28"/>
  <c r="F10" i="28"/>
  <c r="D10" i="28"/>
  <c r="O10" i="28" s="1"/>
  <c r="O9" i="28"/>
  <c r="F9" i="28"/>
  <c r="F8" i="28"/>
  <c r="O7" i="28"/>
  <c r="F7" i="28"/>
  <c r="F6" i="28"/>
  <c r="D6" i="28"/>
  <c r="O6" i="28" s="1"/>
  <c r="N5" i="28"/>
  <c r="F5" i="28"/>
  <c r="D5" i="28"/>
  <c r="O5" i="28" s="1"/>
  <c r="O4" i="28"/>
  <c r="F4" i="28"/>
  <c r="O3" i="28"/>
  <c r="F3" i="28"/>
  <c r="D3" i="28"/>
  <c r="F2" i="28"/>
  <c r="D2" i="28"/>
  <c r="O2" i="28" s="1"/>
  <c r="D20" i="33"/>
  <c r="D23" i="32"/>
  <c r="D22" i="32"/>
  <c r="D16" i="32" l="1"/>
  <c r="G2" i="24"/>
  <c r="G3" i="24"/>
  <c r="G4" i="24"/>
  <c r="G5" i="24"/>
  <c r="G6" i="24"/>
  <c r="G7" i="24"/>
  <c r="G8" i="24"/>
  <c r="F9" i="24" l="1"/>
  <c r="F8" i="24"/>
  <c r="F7" i="24"/>
  <c r="F6" i="24"/>
  <c r="I4" i="24"/>
  <c r="I3" i="24"/>
</calcChain>
</file>

<file path=xl/sharedStrings.xml><?xml version="1.0" encoding="utf-8"?>
<sst xmlns="http://schemas.openxmlformats.org/spreadsheetml/2006/main" count="222" uniqueCount="165">
  <si>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</si>
  <si>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</si>
  <si>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</si>
  <si>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</si>
  <si>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</si>
  <si>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</si>
  <si>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</si>
  <si>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</si>
  <si>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</si>
  <si>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</si>
  <si>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</si>
  <si>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</si>
  <si>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</si>
  <si>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</si>
  <si>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</si>
  <si>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</si>
  <si>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משאבי אנוש</t>
  </si>
  <si>
    <t>מספר</t>
  </si>
  <si>
    <t>תאריך פנייה</t>
  </si>
  <si>
    <t>נושא</t>
  </si>
  <si>
    <t>סכום מבוקש</t>
  </si>
  <si>
    <t>סטטוס</t>
  </si>
  <si>
    <t>סכום מאושר</t>
  </si>
  <si>
    <t>שיווק</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</si>
  <si>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</si>
  <si>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</si>
  <si>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</si>
  <si>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</si>
  <si>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</si>
  <si>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</si>
  <si>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</si>
  <si>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</si>
  <si>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</si>
  <si>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</si>
  <si>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</si>
  <si>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</si>
  <si>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</si>
  <si>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</si>
  <si>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</si>
  <si>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</si>
  <si>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</si>
  <si>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</si>
  <si>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</si>
  <si>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</si>
  <si>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</si>
  <si>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</si>
  <si>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</si>
  <si>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</si>
  <si>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</si>
  <si>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</si>
  <si>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</si>
  <si>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</si>
  <si>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</si>
  <si>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</si>
  <si>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</si>
  <si>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</si>
  <si>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</si>
  <si>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</si>
  <si>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</si>
  <si>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</si>
  <si>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23.00</t>
  </si>
  <si>
    <t>טיקל סנטר</t>
  </si>
  <si>
    <t>בינת סמך</t>
  </si>
  <si>
    <t>01.06.2021</t>
  </si>
  <si>
    <t>שירות לקוחות</t>
  </si>
  <si>
    <t>יועצים ומחקר</t>
  </si>
  <si>
    <t xml:space="preserve">בקשה להרחבת התקשרות עם חברת ספארק ביונד בע"מ </t>
  </si>
  <si>
    <t>דוח החרגות לחודש: יוני 2021</t>
  </si>
  <si>
    <t>פרסומי חודש 06/2021 בהתאם להוראות סעיף 49(ב) לחוק יסודות התקציב, תשמ"ה-1985</t>
  </si>
  <si>
    <t>שירותי דיוור</t>
  </si>
  <si>
    <t>הפקת כנסים ואירועי שיווק</t>
  </si>
  <si>
    <t>שירותי יח"צ בינ"ל- פנייה 35254 אושרה בוועדת חריגים של האוצר</t>
  </si>
  <si>
    <t xml:space="preserve">שירותי מחשוב- רשיונות שימוש, חומרה ותוכנה </t>
  </si>
  <si>
    <t>פעולות רווחה</t>
  </si>
  <si>
    <t xml:space="preserve">מתנות לעובדים לראש השנה </t>
  </si>
  <si>
    <t>שכירות ג.ט.י- רבעון שלישי 2021</t>
  </si>
  <si>
    <t>הוצאות משרדיות</t>
  </si>
  <si>
    <t>התקשרות משלימה לפרויקט בניין הידע</t>
  </si>
  <si>
    <t>יעוץ משפטי, הרחבת התקשרות.  פנייה 32238 אושרה בוועדת החריגים של האוצר</t>
  </si>
  <si>
    <t>הרחבת התקשרות, ביצוע אדריכלות במתחם קלאוזנר. פנייה 32180 אושרה בוועדת החריגים של האוצר</t>
  </si>
  <si>
    <t xml:space="preserve">ביצוע ביקורת כספים בחשבות, הארכת התקשרות- פנייה 31201  אושרה בוועדת החריגים של האוצר </t>
  </si>
  <si>
    <t xml:space="preserve">אירוע פרידה </t>
  </si>
  <si>
    <t xml:space="preserve">ימי עיון </t>
  </si>
  <si>
    <t xml:space="preserve">שיפורי מרכזייה </t>
  </si>
  <si>
    <t>חיון טכנולוגיות</t>
  </si>
  <si>
    <t>הזמנת 14 מסכים</t>
  </si>
  <si>
    <t>IVC</t>
  </si>
  <si>
    <t xml:space="preserve">מפתח API, מינוי שנתי לארגון ושעות מפתח </t>
  </si>
  <si>
    <t>28.06.2021</t>
  </si>
  <si>
    <t>העיקר הבריאות</t>
  </si>
  <si>
    <t>מכשירי דפברילטור</t>
  </si>
  <si>
    <t>גרפיטי</t>
  </si>
  <si>
    <t>הגדלת התקשרות  ושינוי ההזמנה להזמנת מסגרת 2021</t>
  </si>
  <si>
    <t>פליאקוב דיגיטל</t>
  </si>
  <si>
    <t>קידום אתרים בגוגל</t>
  </si>
  <si>
    <t xml:space="preserve">פרומרקטינג וויזרד בע"מ </t>
  </si>
  <si>
    <t>פלטפורמה לאירוע מעסיקים</t>
  </si>
  <si>
    <t>במייל 05.07.2021</t>
  </si>
  <si>
    <t>שאטרסטוק</t>
  </si>
  <si>
    <t>זכויות יוצרים לשימוש בתמונות</t>
  </si>
  <si>
    <t>גרפוס</t>
  </si>
  <si>
    <t>כרטיסי ביקור- 10 סוגים</t>
  </si>
  <si>
    <t>חים קבלו</t>
  </si>
  <si>
    <t>הארכת דלפק בלשכת המנכל</t>
  </si>
  <si>
    <t>WEF</t>
  </si>
  <si>
    <t>מופ בינלאומי</t>
  </si>
  <si>
    <t>צמיחה</t>
  </si>
  <si>
    <t xml:space="preserve">זכריה לוי </t>
  </si>
  <si>
    <t>הוספת רכיב נוסף</t>
  </si>
  <si>
    <t>14.07.2021</t>
  </si>
  <si>
    <t>מעבר לירושלים</t>
  </si>
  <si>
    <t>מלמ שכר</t>
  </si>
  <si>
    <t xml:space="preserve">הארכת התקשרות לשנה נוספת </t>
  </si>
  <si>
    <t xml:space="preserve">הרחבת התקשרות עבור שימוש ברכיב אחסון </t>
  </si>
  <si>
    <t>אקווריום</t>
  </si>
  <si>
    <t xml:space="preserve">יום לילדי העובדים העולים לכיתה א </t>
  </si>
  <si>
    <t>גרבלר ענבר</t>
  </si>
  <si>
    <t>ליווי רשימת כנס דוח החדשנות</t>
  </si>
  <si>
    <t>אפקון</t>
  </si>
  <si>
    <t xml:space="preserve">לרכישה של 4 כבלים להטענה מהירה בעמדות הטענה </t>
  </si>
  <si>
    <t>שכר</t>
  </si>
  <si>
    <t>משאבים</t>
  </si>
  <si>
    <t>ליאקום</t>
  </si>
  <si>
    <t>הארכה והגדלת התקשרות דני בן שלום</t>
  </si>
  <si>
    <t>בלינק צ'ארצ'ינג</t>
  </si>
  <si>
    <t xml:space="preserve"> עמדות הטענה לרכבים חשמליים</t>
  </si>
  <si>
    <t>ספארק ביונד</t>
  </si>
  <si>
    <t>הגדלת התקשרות- שינוי תכולת עבודה</t>
  </si>
  <si>
    <t>פנייה 36094 מיום 09.06.2021</t>
  </si>
  <si>
    <t>06.05.2021</t>
  </si>
  <si>
    <t>ביקורת פרויקטים</t>
  </si>
  <si>
    <t>תפעול מערך טכנולוגי</t>
  </si>
  <si>
    <t>הרחבת התקשרות לשנת 2021- המשך משורה 73</t>
  </si>
  <si>
    <t>01.12.2020</t>
  </si>
  <si>
    <t xml:space="preserve">חכמים בלילה </t>
  </si>
  <si>
    <t>הפקת 10 אירועים - חדשנות על הבר</t>
  </si>
  <si>
    <t>20.07.2021</t>
  </si>
  <si>
    <t>א.מ.ן שירותי מחשוב</t>
  </si>
  <si>
    <t>הארכת התקשרות עבור איתן רוטשטיין</t>
  </si>
  <si>
    <t>אי די איי</t>
  </si>
  <si>
    <t>ל 20000 אלף מעטפות (10000 מכל סוג )</t>
  </si>
  <si>
    <t>ג'וב מאסטר</t>
  </si>
  <si>
    <t>פרסום מודעת דרושים</t>
  </si>
  <si>
    <t>איילה הלוי</t>
  </si>
  <si>
    <t xml:space="preserve">בנק עיצובים גרפים (6 עיצובים ) </t>
  </si>
  <si>
    <t>תים נטקום</t>
  </si>
  <si>
    <t>שירותי הגנות סייבר על האתר השיווקי- התקשרות ל 36 חודשים</t>
  </si>
  <si>
    <t>במייל 27.07.2021</t>
  </si>
  <si>
    <t>ביגה</t>
  </si>
  <si>
    <t>הגדלת התקשרות ל 2021- כיבוד</t>
  </si>
  <si>
    <t>קיום כנס רשות החדשנות</t>
  </si>
  <si>
    <t>דוח החרגות לחודש: יולי 2021</t>
  </si>
  <si>
    <t>פרסומי חודש 07/2021 בהתאם להוראות סעיף 49(ב) לחוק יסודות התקציב, תשמ"ה-1985</t>
  </si>
  <si>
    <t>פנייה 36094 לוועדת החריגים של האוצר: הרחבת התקשרות - בניין הידע</t>
  </si>
  <si>
    <t>דמי חבר לשנת 2021</t>
  </si>
  <si>
    <r>
      <t xml:space="preserve">דמי חבר של ישראל על השתתפות ברשת </t>
    </r>
    <r>
      <rPr>
        <sz val="11"/>
        <color rgb="FFFF0000"/>
        <rFont val="Calibri"/>
        <family val="2"/>
      </rPr>
      <t>C4IR</t>
    </r>
    <r>
      <rPr>
        <sz val="11"/>
        <color rgb="FFFF0000"/>
        <rFont val="Arial"/>
        <family val="2"/>
        <scheme val="minor"/>
      </rPr>
      <t xml:space="preserve"> </t>
    </r>
  </si>
  <si>
    <t xml:space="preserve">הארכת התקשרות- מיקור חוץ נותני שירות מחשוב </t>
  </si>
  <si>
    <t xml:space="preserve">הוצאות שיווק </t>
  </si>
  <si>
    <t xml:space="preserve">הוצאות ציוד מחשוב </t>
  </si>
  <si>
    <t>שירותי מחשוב</t>
  </si>
  <si>
    <t>משרדיות כללי</t>
  </si>
  <si>
    <t>הרחבת התקשרות- קבלן שיפוצים</t>
  </si>
  <si>
    <t>הרחבת התקשרות- מרכזייה שירות לקוחות</t>
  </si>
  <si>
    <t>מינוי שנתי למאגר שירותי מידע- בניין הידע</t>
  </si>
  <si>
    <t>רכישת כבלי הטענה חשמליים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</si>
</sst>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409]#,##0.00"/>
  </numFmts>
  <fonts count="28" x14ac:knownFonts="1">
    <font>
      <sz val="11"/>
      <color theme="1"/>
      <name val="Arial"/>
      <family val="2"/>
      <charset val="177"/>
      <scheme val="minor"/>
    </font>
    <font>
      <sz val="11"/>
      <color theme="1"/>
      <name val="Arial"/>
      <family val="2"/>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name val="David"/>
      <family val="2"/>
      <charset val="177"/>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sz val="11"/>
      <color rgb="FFFF0000"/>
      <name val="Arial"/>
      <family val="2"/>
      <scheme val="minor"/>
    </font>
    <font>
      <sz val="10"/>
      <name val="Arial"/>
      <family val="2"/>
    </font>
    <font>
      <sz val="11"/>
      <color rgb="FFFF0000"/>
      <name val="David"/>
      <family val="2"/>
    </font>
    <font>
      <sz val="11"/>
      <color rgb="FFFF0000"/>
      <name val="Calibri"/>
      <family val="2"/>
    </font>
    <font>
      <sz val="11"/>
      <color rgb="FFFF0000"/>
      <name val="Arial"/>
      <family val="2"/>
    </font>
  </fonts>
  <fills count="3">
    <fill>
      <patternFill patternType="none"/>
    </fill>
    <fill>
      <patternFill patternType="gray125"/>
    </fill>
    <fill>
      <patternFill patternType="solid">
        <fgColor rgb="FF00CC99"/>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
    <xf numFmtId="0" fontId="0" fillId="0" borderId="0"/>
    <xf numFmtId="43" fontId="13" fillId="0" borderId="0" applyFont="0" applyFill="0" applyBorder="0" applyAlignment="0" applyProtection="0"/>
    <xf numFmtId="0" fontId="2" fillId="0" borderId="0"/>
    <xf numFmtId="44" fontId="13" fillId="0" borderId="0" applyFont="0" applyFill="0" applyBorder="0" applyAlignment="0" applyProtection="0"/>
    <xf numFmtId="0" fontId="14" fillId="0" borderId="0"/>
    <xf numFmtId="0" fontId="15" fillId="0" borderId="0"/>
    <xf numFmtId="43" fontId="13" fillId="0" borderId="0" applyFont="0" applyFill="0" applyBorder="0" applyAlignment="0" applyProtection="0"/>
    <xf numFmtId="0" fontId="2" fillId="0" borderId="0"/>
    <xf numFmtId="0" fontId="17" fillId="0" borderId="0"/>
    <xf numFmtId="0" fontId="18" fillId="0" borderId="0"/>
    <xf numFmtId="0" fontId="19" fillId="0" borderId="0"/>
    <xf numFmtId="0" fontId="24" fillId="0" borderId="0"/>
  </cellStyleXfs>
  <cellXfs count="66">
    <xf numFmtId="0" fontId="0" fillId="0" borderId="0" xfId="0"/>
    <xf numFmtId="0" fontId="4" fillId="0" borderId="0" xfId="0" applyFont="1"/>
    <xf numFmtId="0" fontId="5" fillId="0" borderId="0" xfId="0" applyFont="1" applyAlignment="1">
      <alignment vertical="center" readingOrder="2"/>
    </xf>
    <xf numFmtId="0" fontId="6" fillId="0" borderId="0" xfId="0" applyFont="1"/>
    <xf numFmtId="0" fontId="7" fillId="0" borderId="2" xfId="0" applyFont="1" applyBorder="1" applyAlignment="1">
      <alignment horizontal="right" vertical="center" readingOrder="2"/>
    </xf>
    <xf numFmtId="0" fontId="8" fillId="0" borderId="5" xfId="0" applyFont="1" applyBorder="1" applyAlignment="1">
      <alignment vertical="center" readingOrder="2"/>
    </xf>
    <xf numFmtId="0" fontId="9" fillId="0" borderId="4" xfId="0" applyFont="1" applyBorder="1" applyAlignment="1">
      <alignment vertical="center" readingOrder="2"/>
    </xf>
    <xf numFmtId="0" fontId="9" fillId="0" borderId="5" xfId="0" applyFont="1" applyBorder="1" applyAlignment="1">
      <alignment vertical="center" readingOrder="2"/>
    </xf>
    <xf numFmtId="0" fontId="10" fillId="0" borderId="4" xfId="0" applyFont="1" applyBorder="1"/>
    <xf numFmtId="0" fontId="10" fillId="0" borderId="5" xfId="0" applyFont="1" applyBorder="1"/>
    <xf numFmtId="0" fontId="6" fillId="0" borderId="6" xfId="0" applyFont="1" applyBorder="1"/>
    <xf numFmtId="0" fontId="6"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xf numFmtId="0" fontId="6" fillId="0" borderId="0" xfId="0" applyFont="1" applyAlignment="1">
      <alignment wrapText="1"/>
    </xf>
    <xf numFmtId="0" fontId="3" fillId="0" borderId="0" xfId="0" applyFont="1"/>
    <xf numFmtId="0" fontId="7" fillId="0" borderId="3" xfId="0" applyFont="1" applyBorder="1" applyAlignment="1">
      <alignment horizontal="center" vertical="center" wrapText="1" readingOrder="2"/>
    </xf>
    <xf numFmtId="0" fontId="6" fillId="0" borderId="0" xfId="0" applyFont="1" applyAlignment="1">
      <alignment horizontal="right" wrapText="1" readingOrder="2"/>
    </xf>
    <xf numFmtId="0" fontId="16" fillId="0" borderId="4" xfId="0" applyFont="1" applyBorder="1" applyAlignment="1">
      <alignment vertical="center" readingOrder="2"/>
    </xf>
    <xf numFmtId="0" fontId="0" fillId="0" borderId="0" xfId="0" applyAlignment="1">
      <alignment wrapText="1"/>
    </xf>
    <xf numFmtId="43" fontId="0" fillId="0" borderId="0" xfId="1" applyFont="1"/>
    <xf numFmtId="0" fontId="0" fillId="0" borderId="1" xfId="0" applyBorder="1" applyAlignment="1">
      <alignment wrapText="1"/>
    </xf>
    <xf numFmtId="43" fontId="0" fillId="0" borderId="0" xfId="1" applyFont="1" applyAlignment="1">
      <alignment horizontal="center" vertical="center" wrapText="1"/>
    </xf>
    <xf numFmtId="43" fontId="0" fillId="0" borderId="0" xfId="1" applyFont="1" applyAlignment="1">
      <alignment wrapText="1"/>
    </xf>
    <xf numFmtId="0" fontId="20" fillId="0" borderId="0" xfId="0" applyFont="1" applyAlignment="1">
      <alignment wrapText="1"/>
    </xf>
    <xf numFmtId="43" fontId="20"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1" fillId="2" borderId="8"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43" fontId="21" fillId="2" borderId="10" xfId="1" applyFont="1" applyFill="1" applyBorder="1" applyAlignment="1">
      <alignment horizontal="center" vertical="center" wrapText="1"/>
    </xf>
    <xf numFmtId="4" fontId="21" fillId="2" borderId="11" xfId="1" applyNumberFormat="1" applyFont="1" applyFill="1" applyBorder="1" applyAlignment="1">
      <alignment horizontal="center" vertical="center" wrapText="1"/>
    </xf>
    <xf numFmtId="0" fontId="21"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0" fontId="3" fillId="0" borderId="0" xfId="0" applyFont="1" applyAlignment="1">
      <alignment wrapText="1"/>
    </xf>
    <xf numFmtId="0" fontId="23" fillId="0" borderId="1" xfId="0" applyFont="1" applyBorder="1"/>
    <xf numFmtId="2" fontId="3" fillId="0" borderId="8" xfId="0" applyNumberFormat="1" applyFont="1" applyBorder="1" applyAlignment="1">
      <alignment wrapText="1"/>
    </xf>
    <xf numFmtId="0" fontId="3" fillId="0" borderId="8" xfId="0" applyFont="1" applyBorder="1" applyAlignment="1">
      <alignment wrapText="1"/>
    </xf>
    <xf numFmtId="43" fontId="3" fillId="0" borderId="8" xfId="1" applyFont="1" applyBorder="1" applyAlignment="1">
      <alignment wrapText="1"/>
    </xf>
    <xf numFmtId="2" fontId="0" fillId="0" borderId="8" xfId="0" applyNumberFormat="1" applyBorder="1" applyAlignment="1">
      <alignment wrapText="1"/>
    </xf>
    <xf numFmtId="4" fontId="0" fillId="0" borderId="1" xfId="1" applyNumberFormat="1" applyFont="1" applyBorder="1" applyAlignment="1">
      <alignment wrapText="1"/>
    </xf>
    <xf numFmtId="0" fontId="1" fillId="0" borderId="0" xfId="0" applyFont="1"/>
    <xf numFmtId="0" fontId="25" fillId="0" borderId="0" xfId="0" applyFont="1"/>
    <xf numFmtId="0" fontId="3" fillId="0" borderId="1" xfId="0" applyFont="1" applyBorder="1"/>
    <xf numFmtId="43" fontId="20" fillId="0" borderId="0" xfId="0" applyNumberFormat="1" applyFont="1"/>
    <xf numFmtId="43" fontId="3" fillId="0" borderId="8" xfId="0" applyNumberFormat="1" applyFont="1" applyBorder="1" applyAlignment="1">
      <alignment wrapText="1"/>
    </xf>
    <xf numFmtId="2" fontId="23" fillId="0" borderId="8" xfId="0" applyNumberFormat="1" applyFont="1" applyBorder="1" applyAlignment="1">
      <alignment wrapText="1"/>
    </xf>
    <xf numFmtId="0" fontId="23" fillId="0" borderId="8" xfId="0" applyFont="1" applyBorder="1" applyAlignment="1">
      <alignment wrapText="1"/>
    </xf>
    <xf numFmtId="0" fontId="23" fillId="0" borderId="0" xfId="0" applyFont="1"/>
    <xf numFmtId="43" fontId="23" fillId="0" borderId="8" xfId="1" applyFont="1" applyBorder="1" applyAlignment="1">
      <alignment wrapText="1"/>
    </xf>
    <xf numFmtId="4" fontId="23" fillId="0" borderId="1" xfId="1" applyNumberFormat="1" applyFont="1" applyBorder="1" applyAlignment="1">
      <alignment wrapText="1"/>
    </xf>
    <xf numFmtId="0" fontId="23" fillId="0" borderId="0" xfId="0" applyFont="1" applyAlignment="1">
      <alignment wrapText="1"/>
    </xf>
    <xf numFmtId="4" fontId="3" fillId="0" borderId="1" xfId="1" applyNumberFormat="1" applyFont="1" applyBorder="1" applyAlignment="1">
      <alignment wrapText="1"/>
    </xf>
    <xf numFmtId="164" fontId="3" fillId="0" borderId="8" xfId="1" applyNumberFormat="1" applyFont="1" applyBorder="1" applyAlignment="1">
      <alignment wrapText="1"/>
    </xf>
    <xf numFmtId="0" fontId="0" fillId="0" borderId="8" xfId="0" applyFill="1" applyBorder="1" applyAlignment="1">
      <alignment wrapText="1"/>
    </xf>
    <xf numFmtId="4" fontId="0" fillId="0" borderId="8" xfId="1" applyNumberFormat="1" applyFont="1" applyBorder="1" applyAlignment="1">
      <alignment wrapText="1"/>
    </xf>
    <xf numFmtId="164" fontId="23" fillId="0" borderId="8" xfId="1" applyNumberFormat="1" applyFont="1" applyBorder="1" applyAlignment="1">
      <alignment wrapText="1"/>
    </xf>
    <xf numFmtId="0" fontId="23" fillId="0" borderId="1" xfId="0" applyFont="1" applyBorder="1" applyAlignment="1">
      <alignment wrapText="1"/>
    </xf>
    <xf numFmtId="43" fontId="23" fillId="0" borderId="0" xfId="1" applyFont="1"/>
    <xf numFmtId="0" fontId="27" fillId="0" borderId="0" xfId="0" applyFont="1" applyAlignment="1">
      <alignment horizontal="right" vertical="center" readingOrder="2"/>
    </xf>
  </cellXfs>
  <cellStyles count="12">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Normal 8" xfId="11" xr:uid="{9E704763-5DE6-44DD-AF20-F9845AED0C6C}"/>
  </cellStyles>
  <dxfs count="54">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u val="none"/>
        <sz val="11"/>
        <color rgb="FFFF0000"/>
        <name val="David"/>
      </font>
    </dxf>
    <dxf>
      <alignment horizontal="center" vertical="center" textRotation="0" wrapText="0" shrinkToFit="0" readingOrder="0"/>
    </dxf>
    <dxf>
      <numFmt numFmtId="35" formatCode="_ * #,##0.00_ ;_ * \-#,##0.00_ ;_ * &quot;-&quot;??_ ;_ @_ "/>
    </dxf>
    <dxf>
      <numFmt numFmtId="35" formatCode="_ * #,##0.00_ ;_ * \-#,##0.00_ ;_ * &quot;-&quot;??_ ;_ @_ "/>
    </dxf>
    <dxf>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charset val="177"/>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horizontal="general" vertical="bottom"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rgb="FFFF0000"/>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rgb="FFFF0000"/>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35" formatCode="_ * #,##0.00_ ;_ * \-#,##0.00_ ;_ * &quot;-&quot;??_ ;_ @_ "/>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u val="none"/>
        <sz val="11"/>
        <color rgb="FFFF0000"/>
        <name val="David"/>
      </font>
    </dxf>
    <dxf>
      <alignment horizontal="center" vertical="center" textRotation="0" wrapText="0" shrinkToFit="0" readingOrder="0"/>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493;&#1506;&#1491;&#1514;%20&#1495;&#1512;&#1497;&#1490;&#1497;&#1501;\&#1493;&#1506;&#1491;&#1514;%20&#1495;&#1512;&#1497;&#1490;&#1497;&#1501;%202021\&#1508;&#1506;&#1497;&#1500;&#1493;&#1514;%20&#1502;&#1493;&#1500;%20&#1493;&#1506;&#1491;&#1514;%20&#1495;&#1512;&#1497;&#1490;&#1497;&#1501;%20&#1489;&#1502;&#1513;&#1512;&#1491;%20&#1492;&#1488;&#1493;&#1510;&#1512;%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493;&#1506;&#1491;&#1514;%20&#1495;&#1512;&#1497;&#1490;&#1497;&#1501;\&#1493;&#1506;&#1491;&#1514;%20&#1495;&#1512;&#1497;&#1490;&#1497;&#1501;%202021\Copy%20of%20&#1508;&#1506;&#1497;&#1500;&#1493;&#1514;%20&#1502;&#1493;&#1500;%20&#1493;&#1506;&#1491;&#1514;%20&#1495;&#1512;&#1497;&#1490;&#1497;&#1501;%20&#1489;&#1502;&#1513;&#1512;&#1491;%20&#1492;&#1488;&#1493;&#1510;&#1512;%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וח פניות לאוצר 2020"/>
      <sheetName val="דוח פניות לאוצר 2021"/>
      <sheetName val="פעילות מול ועדת חריגים במשרד הא"/>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וח פניות לאוצר 2020"/>
      <sheetName val="דוח פניות לאוצר 2021"/>
      <sheetName val="Copy of פעילות מול ועדת חריגים "/>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CD5A6B-4192-4B6D-BB85-16BABCF1EE13}" name="Table133232323524242" displayName="Table133232323524242" ref="A7:D23" totalsRowCount="1" headerRowDxfId="53">
  <autoFilter ref="A7:D22" xr:uid="{00000000-0009-0000-0100-000001000000}"/>
  <sortState xmlns:xlrd2="http://schemas.microsoft.com/office/spreadsheetml/2017/richdata2" ref="A8:D22">
    <sortCondition ref="D7:D22"/>
  </sortState>
  <tableColumns count="4">
    <tableColumn id="1" xr3:uid="{CA0384C5-15F2-4FFB-BC55-80B093548943}" name="מס" dataDxfId="52" totalsRowDxfId="51"/>
    <tableColumn id="2" xr3:uid="{B0616EFC-FC48-45C5-8AEB-0DCB182F214B}" name="ספק" dataDxfId="50" totalsRowDxfId="49"/>
    <tableColumn id="3" xr3:uid="{CB966672-4869-4397-A46E-5B7E73B91EB3}" name="נושא ההתקשרות" dataDxfId="48" totalsRowDxfId="47"/>
    <tableColumn id="4" xr3:uid="{C5E03441-8A8A-4AD9-A506-7023F69670A5}" name="סכום ההתקשרות (סכום ההתקשרות ולא סכום המזומן)" totalsRowFunction="sum" dataDxfId="46" totalsRowDxfId="45"/>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29" totalsRowCount="1" headerRowDxfId="44" totalsRowDxfId="43" totalsRowBorderDxfId="42" headerRowCellStyle="Comma">
  <autoFilter ref="A1:O28" xr:uid="{00000000-0009-0000-0100-000001000000}">
    <filterColumn colId="8">
      <filters>
        <filter val="38300191"/>
      </filters>
    </filterColumn>
    <filterColumn colId="10">
      <filters>
        <filter val="36901101"/>
      </filters>
    </filterColumn>
  </autoFilter>
  <tableColumns count="15">
    <tableColumn id="1" xr3:uid="{3CB35F64-4895-4E43-A017-CD430BFD0AAC}" name="23.00" dataDxfId="41" totalsRowDxfId="40"/>
    <tableColumn id="2" xr3:uid="{E0EF0061-9D6E-4EA0-951A-543A78971054}" name="שם הספק " dataDxfId="39" totalsRowDxfId="38"/>
    <tableColumn id="3" xr3:uid="{B9494E87-B48A-45EB-BFE4-02C4CE5A79ED}" name="מטרת ההתקשרות " dataDxfId="37" totalsRowDxfId="36"/>
    <tableColumn id="4" xr3:uid="{AE2BF67C-A96D-48C8-81E4-15985CF61F94}" name="סכום מבוקש בש&quot;ח כולל מעמ!!" dataDxfId="35" totalsRowDxfId="34" dataCellStyle="Comma" totalsRowCellStyle="Comma"/>
    <tableColumn id="5" xr3:uid="{0D975C3F-2880-4EE3-BB57-E775998ACF5D}" name="סכום התקשרות מצטבר מול הספק (אם רלוונטי)" dataDxfId="33" totalsRowDxfId="32" dataCellStyle="Comma" totalsRowCellStyle="Comma"/>
    <tableColumn id="6" xr3:uid="{5DFC74E0-289F-44A7-B747-6D26434BF84E}" name="יתרה מתקרת ההתקשרות" dataDxfId="31" totalsRowDxfId="30">
      <calculatedColumnFormula>$P$1-E2</calculatedColumnFormula>
    </tableColumn>
    <tableColumn id="7" xr3:uid="{8C752036-2A0B-4CE3-9EE1-1EFDEC1BDD08}" name="אושר בוועדת חריגים (אם כן, לציין מס פנייה ותאריך אישור)" dataDxfId="29" totalsRowDxfId="28"/>
    <tableColumn id="8" xr3:uid="{42CB213B-9B58-46B5-A4C3-E7AC44F545E6}" name="אושר בוועדת מכרזים (אם כן, לציין תאריך דיון)" dataDxfId="27" totalsRowDxfId="26"/>
    <tableColumn id="9" xr3:uid="{C5A2CEF8-45CD-4DC3-8CEB-BA3719BB839E}" name="תקנה/ פריט התחייבות" dataDxfId="25" totalsRowDxfId="24"/>
    <tableColumn id="10" xr3:uid="{E8696322-7DB9-4E4F-8FEC-CCFC7C1E0DED}" name="שם תקנה" dataDxfId="23" totalsRowDxfId="22"/>
    <tableColumn id="11" xr3:uid="{990FCFAF-4B96-49B6-9ABC-1EC26E0D458A}" name="מרכז קרנות" dataDxfId="21" totalsRowDxfId="20"/>
    <tableColumn id="12" xr3:uid="{D2685F56-9559-4BCB-9C42-E1783937F29B}" name="שם מרכז קרנות" dataDxfId="19" totalsRowDxfId="18"/>
    <tableColumn id="16" xr3:uid="{47B6589E-02A1-4CBF-8185-5C0BFBF8E50F}" name="נוצרה/ הוגדלה התחייבות מספר" dataDxfId="17" totalsRowDxfId="16"/>
    <tableColumn id="17" xr3:uid="{E8C11108-0D61-45B2-B9EC-2B58AB4CBE93}" name="שווי שורה/ הגדלה " totalsRowFunction="sum" dataDxfId="15" totalsRowDxfId="14" dataCellStyle="Comma" totalsRowCellStyle="Comma"/>
    <tableColumn id="18" xr3:uid="{357D6823-DA9C-4E5F-9140-B02D30CFCD74}" name="הפרש יתרה שלא נוצלה מהחרגה" dataDxfId="13" totalsRowDxfId="12" dataCellStyle="Comma" totalsRowCellStyle="Comma"/>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1" totalsRowShown="0" headerRowDxfId="11">
  <autoFilter ref="A1:J11"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DxfId="10" dataCellStyle="Comma">
      <calculatedColumnFormula>[1]!טבלה3[[#This Row],[סכום מבוקש]]-[1]!טבלה3[[#This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DxfId="9" dataCellStyle="Comma">
      <calculatedColumnFormula>[2]!טבלה3[[#This Row],[סכום מאושר]]-[2]!טבלה3[[#This Row],[ניצול מתוך הפנייה ]]</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45FA66-F849-4D98-B91A-6D9D7E4E38D9}" name="Table1332323235242424" displayName="Table1332323235242424" ref="A7:D20" totalsRowCount="1" headerRowDxfId="8">
  <autoFilter ref="A7:D19" xr:uid="{00000000-0009-0000-0100-000001000000}"/>
  <sortState xmlns:xlrd2="http://schemas.microsoft.com/office/spreadsheetml/2017/richdata2" ref="A8:D19">
    <sortCondition ref="D7:D19"/>
  </sortState>
  <tableColumns count="4">
    <tableColumn id="1" xr3:uid="{E304E0E9-532D-47AF-81ED-11CE05DE3D8C}" name="מס" dataDxfId="7" totalsRowDxfId="6"/>
    <tableColumn id="2" xr3:uid="{54EA7BA2-B021-44C4-B5A9-7A2E99C59BA2}" name="ספק" dataDxfId="5" totalsRowDxfId="4"/>
    <tableColumn id="3" xr3:uid="{9F59EC3F-9688-47D5-9C2F-F0D8BB806D73}" name="נושא ההתקשרות" dataDxfId="3" totalsRowDxfId="2"/>
    <tableColumn id="4" xr3:uid="{FA555A67-AE1C-451C-81EB-E073AB6FE1FD}" name="סכום ההתקשרות (סכום ההתקשרות ולא סכום המזומן)" totalsRowFunction="sum" dataDxfId="1"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70F39-F11F-4573-89A5-4F772D4FB876}">
  <dimension ref="A1:F23"/>
  <sheetViews>
    <sheetView rightToLeft="1" workbookViewId="0">
      <pane xSplit="4" ySplit="7" topLeftCell="E12" activePane="bottomRight" state="frozen"/>
      <selection pane="topRight" activeCell="E1" sqref="E1"/>
      <selection pane="bottomLeft" activeCell="A8" sqref="A8"/>
      <selection pane="bottomRight" activeCell="C21" sqref="C21"/>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7" t="s">
        <v>67</v>
      </c>
      <c r="F2"/>
    </row>
    <row r="3" spans="1:6" s="3" customFormat="1" ht="15.75" x14ac:dyDescent="0.25">
      <c r="C3" s="19"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68</v>
      </c>
      <c r="D6" s="11"/>
      <c r="F6"/>
    </row>
    <row r="7" spans="1:6" ht="28.5" x14ac:dyDescent="0.2">
      <c r="A7" s="12" t="s">
        <v>2</v>
      </c>
      <c r="B7" s="12" t="s">
        <v>3</v>
      </c>
      <c r="C7" s="12" t="s">
        <v>4</v>
      </c>
      <c r="D7" s="13" t="s">
        <v>5</v>
      </c>
    </row>
    <row r="8" spans="1:6" s="16" customFormat="1" ht="15" x14ac:dyDescent="0.25">
      <c r="A8" s="14">
        <v>1</v>
      </c>
      <c r="B8" s="15"/>
      <c r="C8" s="15" t="s">
        <v>82</v>
      </c>
      <c r="D8" s="26">
        <v>4233.5</v>
      </c>
    </row>
    <row r="9" spans="1:6" s="16" customFormat="1" ht="15" x14ac:dyDescent="0.25">
      <c r="A9" s="14">
        <v>2</v>
      </c>
      <c r="B9" s="15"/>
      <c r="C9" s="15" t="s">
        <v>83</v>
      </c>
      <c r="D9" s="26">
        <v>5262</v>
      </c>
    </row>
    <row r="10" spans="1:6" s="16" customFormat="1" ht="15" x14ac:dyDescent="0.25">
      <c r="A10" s="14">
        <v>3</v>
      </c>
      <c r="B10" s="15"/>
      <c r="C10" s="15" t="s">
        <v>81</v>
      </c>
      <c r="D10" s="26">
        <v>5265</v>
      </c>
    </row>
    <row r="11" spans="1:6" s="16" customFormat="1" ht="15" x14ac:dyDescent="0.25">
      <c r="A11" s="14">
        <v>4</v>
      </c>
      <c r="B11" s="15"/>
      <c r="C11" s="15" t="s">
        <v>73</v>
      </c>
      <c r="D11" s="26">
        <v>7449.32</v>
      </c>
    </row>
    <row r="12" spans="1:6" s="16" customFormat="1" ht="15" x14ac:dyDescent="0.25">
      <c r="A12" s="14">
        <v>5</v>
      </c>
      <c r="B12" s="15"/>
      <c r="C12" s="18" t="s">
        <v>72</v>
      </c>
      <c r="D12" s="26">
        <v>10240</v>
      </c>
    </row>
    <row r="13" spans="1:6" s="16" customFormat="1" ht="15" x14ac:dyDescent="0.25">
      <c r="A13" s="14">
        <v>6</v>
      </c>
      <c r="B13" s="15"/>
      <c r="C13" s="15" t="s">
        <v>76</v>
      </c>
      <c r="D13" s="26">
        <v>32301</v>
      </c>
    </row>
    <row r="14" spans="1:6" s="16" customFormat="1" ht="15" x14ac:dyDescent="0.25">
      <c r="A14" s="14">
        <v>7</v>
      </c>
      <c r="B14" s="15"/>
      <c r="C14" s="15" t="s">
        <v>74</v>
      </c>
      <c r="D14" s="26">
        <v>42000</v>
      </c>
    </row>
    <row r="15" spans="1:6" s="16" customFormat="1" ht="30" x14ac:dyDescent="0.25">
      <c r="A15" s="14">
        <v>8</v>
      </c>
      <c r="B15" s="15"/>
      <c r="C15" s="15" t="s">
        <v>80</v>
      </c>
      <c r="D15" s="26">
        <v>45182</v>
      </c>
    </row>
    <row r="16" spans="1:6" ht="15" x14ac:dyDescent="0.25">
      <c r="A16" s="14">
        <v>9</v>
      </c>
      <c r="B16" s="25"/>
      <c r="C16" s="25" t="s">
        <v>69</v>
      </c>
      <c r="D16" s="26">
        <f>31020+18252</f>
        <v>49272</v>
      </c>
    </row>
    <row r="17" spans="1:4" ht="30" x14ac:dyDescent="0.25">
      <c r="A17" s="14">
        <v>10</v>
      </c>
      <c r="B17" s="15"/>
      <c r="C17" s="15" t="s">
        <v>79</v>
      </c>
      <c r="D17" s="26">
        <v>49643.92</v>
      </c>
    </row>
    <row r="18" spans="1:4" s="16" customFormat="1" ht="30" x14ac:dyDescent="0.25">
      <c r="A18" s="14">
        <v>11</v>
      </c>
      <c r="B18" s="15"/>
      <c r="C18" s="15" t="s">
        <v>78</v>
      </c>
      <c r="D18" s="26">
        <v>50000</v>
      </c>
    </row>
    <row r="19" spans="1:4" s="16" customFormat="1" ht="15" x14ac:dyDescent="0.25">
      <c r="A19" s="14">
        <v>12</v>
      </c>
      <c r="B19" s="25"/>
      <c r="C19" s="25" t="s">
        <v>70</v>
      </c>
      <c r="D19" s="26">
        <v>59603.6</v>
      </c>
    </row>
    <row r="20" spans="1:4" s="16" customFormat="1" ht="15" x14ac:dyDescent="0.25">
      <c r="A20" s="14">
        <v>13</v>
      </c>
      <c r="B20" s="15"/>
      <c r="C20" s="15" t="s">
        <v>77</v>
      </c>
      <c r="D20" s="26">
        <v>148500</v>
      </c>
    </row>
    <row r="21" spans="1:4" s="16" customFormat="1" ht="30" x14ac:dyDescent="0.25">
      <c r="A21" s="14">
        <v>14</v>
      </c>
      <c r="B21" s="25"/>
      <c r="C21" s="25" t="s">
        <v>71</v>
      </c>
      <c r="D21" s="26">
        <v>224640</v>
      </c>
    </row>
    <row r="22" spans="1:4" s="16" customFormat="1" ht="15" x14ac:dyDescent="0.25">
      <c r="A22" s="14">
        <v>15</v>
      </c>
      <c r="B22" s="25"/>
      <c r="C22" s="25" t="s">
        <v>75</v>
      </c>
      <c r="D22" s="26">
        <f>(107554.2+203940.48+136800)*1.17</f>
        <v>524504.77559999994</v>
      </c>
    </row>
    <row r="23" spans="1:4" ht="15" x14ac:dyDescent="0.25">
      <c r="A23" s="48"/>
      <c r="B23" s="25"/>
      <c r="C23" s="25"/>
      <c r="D23" s="50">
        <f>SUBTOTAL(109,Table133232323524242[סכום ההתקשרות (סכום ההתקשרות ולא סכום המזומן)])</f>
        <v>1258097.1155999999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R29"/>
  <sheetViews>
    <sheetView rightToLeft="1" zoomScale="80" zoomScaleNormal="80" workbookViewId="0">
      <pane ySplit="1" topLeftCell="A2" activePane="bottomLeft" state="frozen"/>
      <selection pane="bottomLeft" activeCell="N3" sqref="N3"/>
    </sheetView>
  </sheetViews>
  <sheetFormatPr defaultColWidth="9" defaultRowHeight="14.25" x14ac:dyDescent="0.2"/>
  <cols>
    <col min="1" max="1" width="6.875" style="39" customWidth="1"/>
    <col min="2" max="2" width="22.5" style="20" customWidth="1"/>
    <col min="3" max="3" width="31.5" style="20" customWidth="1"/>
    <col min="4" max="4" width="15.75" style="24" customWidth="1"/>
    <col min="5" max="5" width="15.125" style="24" hidden="1" customWidth="1"/>
    <col min="6" max="6" width="12.625" style="20" hidden="1" customWidth="1"/>
    <col min="7" max="7" width="16.25" style="20" hidden="1" customWidth="1"/>
    <col min="8" max="8" width="18.75" style="20" hidden="1" customWidth="1"/>
    <col min="9" max="12" width="18.75" style="20" customWidth="1"/>
    <col min="13" max="13" width="21.125" style="20" bestFit="1" customWidth="1"/>
    <col min="14" max="14" width="14" style="24" bestFit="1" customWidth="1"/>
    <col min="15" max="15" width="18" style="38" bestFit="1" customWidth="1"/>
    <col min="16" max="17" width="13.5" style="20" hidden="1" customWidth="1"/>
    <col min="18" max="18" width="11.375" style="20" hidden="1" customWidth="1"/>
    <col min="19" max="16384" width="9" style="20"/>
  </cols>
  <sheetData>
    <row r="1" spans="1:18" s="37" customFormat="1" ht="45" x14ac:dyDescent="0.2">
      <c r="A1" s="32" t="s">
        <v>60</v>
      </c>
      <c r="B1" s="33" t="s">
        <v>6</v>
      </c>
      <c r="C1" s="34" t="s">
        <v>49</v>
      </c>
      <c r="D1" s="35" t="s">
        <v>7</v>
      </c>
      <c r="E1" s="35" t="s">
        <v>50</v>
      </c>
      <c r="F1" s="34" t="s">
        <v>51</v>
      </c>
      <c r="G1" s="34" t="s">
        <v>52</v>
      </c>
      <c r="H1" s="34" t="s">
        <v>53</v>
      </c>
      <c r="I1" s="34" t="s">
        <v>8</v>
      </c>
      <c r="J1" s="34" t="s">
        <v>9</v>
      </c>
      <c r="K1" s="34" t="s">
        <v>10</v>
      </c>
      <c r="L1" s="34" t="s">
        <v>11</v>
      </c>
      <c r="M1" s="34" t="s">
        <v>54</v>
      </c>
      <c r="N1" s="35" t="s">
        <v>55</v>
      </c>
      <c r="O1" s="36" t="s">
        <v>56</v>
      </c>
      <c r="P1" s="37" t="s">
        <v>57</v>
      </c>
      <c r="Q1" s="37" t="s">
        <v>58</v>
      </c>
      <c r="R1" s="37" t="s">
        <v>59</v>
      </c>
    </row>
    <row r="2" spans="1:18" s="57" customFormat="1" hidden="1" x14ac:dyDescent="0.2">
      <c r="A2" s="52">
        <v>1.07</v>
      </c>
      <c r="B2" s="53" t="s">
        <v>84</v>
      </c>
      <c r="C2" s="53" t="s">
        <v>85</v>
      </c>
      <c r="D2" s="55">
        <f>(14*455)*1.17</f>
        <v>7452.9</v>
      </c>
      <c r="E2" s="30"/>
      <c r="F2" s="31" t="e">
        <f t="shared" ref="F2:F6" si="0">$P$1-E2</f>
        <v>#VALUE!</v>
      </c>
      <c r="G2" s="29"/>
      <c r="H2" s="29"/>
      <c r="I2" s="63">
        <v>38300191</v>
      </c>
      <c r="J2" s="63" t="s">
        <v>12</v>
      </c>
      <c r="K2" s="63">
        <v>36901021</v>
      </c>
      <c r="L2" s="63" t="s">
        <v>15</v>
      </c>
      <c r="M2" s="53">
        <v>4502048644</v>
      </c>
      <c r="N2" s="55">
        <v>7452</v>
      </c>
      <c r="O2" s="56">
        <f t="shared" ref="O2:O7" si="1">D2-N2</f>
        <v>0.8999999999996362</v>
      </c>
      <c r="P2" s="20"/>
      <c r="Q2" s="20"/>
      <c r="R2" s="20"/>
    </row>
    <row r="3" spans="1:18" s="40" customFormat="1" ht="28.5" x14ac:dyDescent="0.2">
      <c r="A3" s="42">
        <v>5.07</v>
      </c>
      <c r="B3" s="43" t="s">
        <v>86</v>
      </c>
      <c r="C3" s="43" t="s">
        <v>87</v>
      </c>
      <c r="D3" s="44">
        <f>(172000+22450+3600)*1.17</f>
        <v>231718.5</v>
      </c>
      <c r="E3" s="44"/>
      <c r="F3" s="51" t="e">
        <f t="shared" si="0"/>
        <v>#VALUE!</v>
      </c>
      <c r="G3" s="43"/>
      <c r="H3" s="43" t="s">
        <v>88</v>
      </c>
      <c r="I3" s="41">
        <v>38300191</v>
      </c>
      <c r="J3" s="49" t="s">
        <v>12</v>
      </c>
      <c r="K3" s="49">
        <v>36901101</v>
      </c>
      <c r="L3" s="49" t="s">
        <v>65</v>
      </c>
      <c r="M3" s="43">
        <v>4502049825</v>
      </c>
      <c r="N3" s="44">
        <v>227506.62</v>
      </c>
      <c r="O3" s="46">
        <f t="shared" si="1"/>
        <v>4211.8800000000047</v>
      </c>
    </row>
    <row r="4" spans="1:18" s="57" customFormat="1" hidden="1" x14ac:dyDescent="0.2">
      <c r="A4" s="52">
        <v>6.07</v>
      </c>
      <c r="B4" s="53" t="s">
        <v>89</v>
      </c>
      <c r="C4" s="53" t="s">
        <v>90</v>
      </c>
      <c r="D4" s="55">
        <v>11313</v>
      </c>
      <c r="E4" s="30"/>
      <c r="F4" s="31" t="e">
        <f t="shared" si="0"/>
        <v>#VALUE!</v>
      </c>
      <c r="G4" s="29"/>
      <c r="H4" s="29"/>
      <c r="I4" s="53">
        <v>38300191</v>
      </c>
      <c r="J4" s="53" t="s">
        <v>12</v>
      </c>
      <c r="K4" s="53">
        <v>36901024</v>
      </c>
      <c r="L4" s="53" t="s">
        <v>13</v>
      </c>
      <c r="M4" s="53">
        <v>4502050288</v>
      </c>
      <c r="N4" s="55">
        <v>11313.9</v>
      </c>
      <c r="O4" s="56">
        <f t="shared" si="1"/>
        <v>-0.8999999999996362</v>
      </c>
      <c r="P4" s="20"/>
      <c r="Q4" s="20"/>
      <c r="R4" s="20"/>
    </row>
    <row r="5" spans="1:18" s="57" customFormat="1" ht="28.5" hidden="1" x14ac:dyDescent="0.2">
      <c r="A5" s="52">
        <v>6.07</v>
      </c>
      <c r="B5" s="53" t="s">
        <v>91</v>
      </c>
      <c r="C5" s="63" t="s">
        <v>92</v>
      </c>
      <c r="D5" s="55">
        <f>20000*1.17</f>
        <v>23400</v>
      </c>
      <c r="E5" s="30"/>
      <c r="F5" s="31" t="e">
        <f t="shared" si="0"/>
        <v>#VALUE!</v>
      </c>
      <c r="G5" s="29"/>
      <c r="H5" s="29"/>
      <c r="I5" s="63">
        <v>38300191</v>
      </c>
      <c r="J5" s="63" t="s">
        <v>12</v>
      </c>
      <c r="K5" s="63">
        <v>36901024</v>
      </c>
      <c r="L5" s="63" t="s">
        <v>13</v>
      </c>
      <c r="M5" s="63">
        <v>4501988331</v>
      </c>
      <c r="N5" s="55">
        <f>20000*1.17</f>
        <v>23400</v>
      </c>
      <c r="O5" s="56">
        <f t="shared" si="1"/>
        <v>0</v>
      </c>
      <c r="P5" s="20"/>
      <c r="Q5" s="20"/>
      <c r="R5" s="20"/>
    </row>
    <row r="6" spans="1:18" s="57" customFormat="1" hidden="1" x14ac:dyDescent="0.2">
      <c r="A6" s="52">
        <v>7.07</v>
      </c>
      <c r="B6" s="53" t="s">
        <v>93</v>
      </c>
      <c r="C6" s="53" t="s">
        <v>94</v>
      </c>
      <c r="D6" s="55">
        <f>7500*1.17</f>
        <v>8775</v>
      </c>
      <c r="E6" s="30"/>
      <c r="F6" s="31" t="e">
        <f t="shared" si="0"/>
        <v>#VALUE!</v>
      </c>
      <c r="G6" s="29"/>
      <c r="H6" s="29"/>
      <c r="I6" s="63">
        <v>38300191</v>
      </c>
      <c r="J6" s="63" t="s">
        <v>12</v>
      </c>
      <c r="K6" s="63">
        <v>3690112</v>
      </c>
      <c r="L6" s="63" t="s">
        <v>23</v>
      </c>
      <c r="M6" s="53">
        <v>4502051012</v>
      </c>
      <c r="N6" s="55">
        <v>8775</v>
      </c>
      <c r="O6" s="56">
        <f t="shared" si="1"/>
        <v>0</v>
      </c>
      <c r="P6" s="20"/>
      <c r="Q6" s="20"/>
      <c r="R6" s="20"/>
    </row>
    <row r="7" spans="1:18" s="57" customFormat="1" hidden="1" x14ac:dyDescent="0.2">
      <c r="A7" s="52">
        <v>8.07</v>
      </c>
      <c r="B7" s="53" t="s">
        <v>95</v>
      </c>
      <c r="C7" s="53" t="s">
        <v>96</v>
      </c>
      <c r="D7" s="55">
        <v>26325</v>
      </c>
      <c r="E7" s="30"/>
      <c r="F7" s="31" t="e">
        <f t="shared" ref="F7:F28" si="2">$P$1-E7</f>
        <v>#VALUE!</v>
      </c>
      <c r="G7" s="29"/>
      <c r="H7" s="29" t="s">
        <v>97</v>
      </c>
      <c r="I7" s="63">
        <v>38300191</v>
      </c>
      <c r="J7" s="63" t="s">
        <v>12</v>
      </c>
      <c r="K7" s="63">
        <v>3690112</v>
      </c>
      <c r="L7" s="63" t="s">
        <v>23</v>
      </c>
      <c r="M7" s="53">
        <v>4502051168</v>
      </c>
      <c r="N7" s="55">
        <v>26325</v>
      </c>
      <c r="O7" s="56">
        <f t="shared" si="1"/>
        <v>0</v>
      </c>
      <c r="P7" s="20"/>
      <c r="Q7" s="20"/>
      <c r="R7" s="20"/>
    </row>
    <row r="8" spans="1:18" s="57" customFormat="1" hidden="1" x14ac:dyDescent="0.2">
      <c r="A8" s="52">
        <v>8.07</v>
      </c>
      <c r="B8" s="53" t="s">
        <v>98</v>
      </c>
      <c r="C8" s="53" t="s">
        <v>99</v>
      </c>
      <c r="D8" s="62">
        <f>1764*3.4</f>
        <v>5997.5999999999995</v>
      </c>
      <c r="E8" s="30"/>
      <c r="F8" s="31" t="e">
        <f t="shared" si="2"/>
        <v>#VALUE!</v>
      </c>
      <c r="G8" s="29"/>
      <c r="H8" s="29"/>
      <c r="I8" s="63">
        <v>38300191</v>
      </c>
      <c r="J8" s="63" t="s">
        <v>12</v>
      </c>
      <c r="K8" s="63">
        <v>3690112</v>
      </c>
      <c r="L8" s="63" t="s">
        <v>23</v>
      </c>
      <c r="M8" s="53">
        <v>4502053801</v>
      </c>
      <c r="N8" s="55">
        <v>5997</v>
      </c>
      <c r="O8" s="56">
        <v>0</v>
      </c>
      <c r="P8" s="20"/>
      <c r="Q8" s="20"/>
      <c r="R8" s="20"/>
    </row>
    <row r="9" spans="1:18" s="57" customFormat="1" hidden="1" x14ac:dyDescent="0.2">
      <c r="A9" s="52">
        <v>11.07</v>
      </c>
      <c r="B9" s="53" t="s">
        <v>100</v>
      </c>
      <c r="C9" s="53" t="s">
        <v>101</v>
      </c>
      <c r="D9" s="55">
        <v>4820.3999999999996</v>
      </c>
      <c r="E9" s="30"/>
      <c r="F9" s="31" t="e">
        <f t="shared" si="2"/>
        <v>#VALUE!</v>
      </c>
      <c r="G9" s="29"/>
      <c r="H9" s="29"/>
      <c r="I9" s="63">
        <v>38300191</v>
      </c>
      <c r="J9" s="63" t="s">
        <v>12</v>
      </c>
      <c r="K9" s="63">
        <v>36901024</v>
      </c>
      <c r="L9" s="63" t="s">
        <v>13</v>
      </c>
      <c r="M9" s="53">
        <v>4502052539</v>
      </c>
      <c r="N9" s="55">
        <v>4820</v>
      </c>
      <c r="O9" s="56">
        <f t="shared" ref="O9:O28" si="3">D9-N9</f>
        <v>0.3999999999996362</v>
      </c>
      <c r="P9" s="20"/>
      <c r="Q9" s="20"/>
      <c r="R9" s="20"/>
    </row>
    <row r="10" spans="1:18" s="57" customFormat="1" hidden="1" x14ac:dyDescent="0.2">
      <c r="A10" s="52">
        <v>18.07</v>
      </c>
      <c r="B10" s="53" t="s">
        <v>102</v>
      </c>
      <c r="C10" s="53" t="s">
        <v>103</v>
      </c>
      <c r="D10" s="55">
        <f>450*1.17</f>
        <v>526.5</v>
      </c>
      <c r="E10" s="30"/>
      <c r="F10" s="31" t="e">
        <f t="shared" si="2"/>
        <v>#VALUE!</v>
      </c>
      <c r="G10" s="29"/>
      <c r="H10" s="29"/>
      <c r="I10" s="63">
        <v>38300191</v>
      </c>
      <c r="J10" s="63" t="s">
        <v>12</v>
      </c>
      <c r="K10" s="63">
        <v>36901024</v>
      </c>
      <c r="L10" s="63" t="s">
        <v>13</v>
      </c>
      <c r="M10" s="53">
        <v>4502053579</v>
      </c>
      <c r="N10" s="55">
        <v>526.5</v>
      </c>
      <c r="O10" s="56">
        <f t="shared" si="3"/>
        <v>0</v>
      </c>
      <c r="P10" s="20"/>
      <c r="Q10" s="20"/>
      <c r="R10" s="20"/>
    </row>
    <row r="11" spans="1:18" s="40" customFormat="1" ht="29.25" hidden="1" x14ac:dyDescent="0.25">
      <c r="A11" s="42">
        <v>18.07</v>
      </c>
      <c r="B11" s="43" t="s">
        <v>104</v>
      </c>
      <c r="C11" s="53" t="s">
        <v>155</v>
      </c>
      <c r="D11" s="59">
        <v>3400000</v>
      </c>
      <c r="E11" s="30"/>
      <c r="F11" s="31" t="e">
        <f t="shared" si="2"/>
        <v>#VALUE!</v>
      </c>
      <c r="G11" s="29"/>
      <c r="H11" s="29"/>
      <c r="I11" s="54">
        <v>38300402</v>
      </c>
      <c r="J11" s="49" t="s">
        <v>105</v>
      </c>
      <c r="K11" s="49">
        <v>3690105</v>
      </c>
      <c r="L11" s="49" t="s">
        <v>106</v>
      </c>
      <c r="M11" s="43">
        <v>4502053208</v>
      </c>
      <c r="N11" s="44">
        <f>1000000*3.4</f>
        <v>3400000</v>
      </c>
      <c r="O11" s="58">
        <f t="shared" si="3"/>
        <v>0</v>
      </c>
      <c r="P11" s="20"/>
      <c r="Q11" s="20"/>
      <c r="R11" s="20"/>
    </row>
    <row r="12" spans="1:18" s="57" customFormat="1" hidden="1" x14ac:dyDescent="0.2">
      <c r="A12" s="52">
        <v>18.07</v>
      </c>
      <c r="B12" s="53" t="s">
        <v>107</v>
      </c>
      <c r="C12" s="53" t="s">
        <v>108</v>
      </c>
      <c r="D12" s="55">
        <f>52650*1.17</f>
        <v>61600.499999999993</v>
      </c>
      <c r="E12" s="30"/>
      <c r="F12" s="31" t="e">
        <f t="shared" si="2"/>
        <v>#VALUE!</v>
      </c>
      <c r="G12" s="29"/>
      <c r="H12" s="29" t="s">
        <v>109</v>
      </c>
      <c r="I12" s="41">
        <v>38300191</v>
      </c>
      <c r="J12" s="41" t="s">
        <v>12</v>
      </c>
      <c r="K12" s="41">
        <v>36901026</v>
      </c>
      <c r="L12" s="41" t="s">
        <v>110</v>
      </c>
      <c r="M12" s="53">
        <v>4502002341</v>
      </c>
      <c r="N12" s="55">
        <v>61600.5</v>
      </c>
      <c r="O12" s="56">
        <f t="shared" si="3"/>
        <v>0</v>
      </c>
      <c r="P12" s="20"/>
      <c r="Q12" s="20"/>
      <c r="R12" s="20"/>
    </row>
    <row r="13" spans="1:18" hidden="1" x14ac:dyDescent="0.2">
      <c r="A13" s="45">
        <v>18.07</v>
      </c>
      <c r="B13" s="29" t="s">
        <v>111</v>
      </c>
      <c r="C13" s="29" t="s">
        <v>112</v>
      </c>
      <c r="D13" s="30">
        <v>104000</v>
      </c>
      <c r="E13" s="30"/>
      <c r="F13" s="31" t="e">
        <f t="shared" si="2"/>
        <v>#VALUE!</v>
      </c>
      <c r="G13" s="29"/>
      <c r="H13" s="29" t="s">
        <v>109</v>
      </c>
      <c r="I13" s="29"/>
      <c r="J13" s="29"/>
      <c r="K13" s="29"/>
      <c r="L13" s="29"/>
      <c r="M13" s="29"/>
      <c r="N13" s="44"/>
      <c r="O13" s="46">
        <f t="shared" si="3"/>
        <v>104000</v>
      </c>
    </row>
    <row r="14" spans="1:18" s="57" customFormat="1" ht="28.5" hidden="1" x14ac:dyDescent="0.2">
      <c r="A14" s="52">
        <v>18.07</v>
      </c>
      <c r="B14" s="53" t="s">
        <v>62</v>
      </c>
      <c r="C14" s="53" t="s">
        <v>113</v>
      </c>
      <c r="D14" s="55">
        <f>(6500*3.4)*1.17</f>
        <v>25857</v>
      </c>
      <c r="E14" s="30"/>
      <c r="F14" s="31" t="e">
        <f t="shared" si="2"/>
        <v>#VALUE!</v>
      </c>
      <c r="G14" s="29"/>
      <c r="H14" s="29" t="s">
        <v>109</v>
      </c>
      <c r="I14" s="63">
        <v>38300191</v>
      </c>
      <c r="J14" s="63" t="s">
        <v>12</v>
      </c>
      <c r="K14" s="63">
        <v>36901021</v>
      </c>
      <c r="L14" s="63" t="s">
        <v>15</v>
      </c>
      <c r="M14" s="53">
        <v>4502057012</v>
      </c>
      <c r="N14" s="55">
        <v>24944.400000000001</v>
      </c>
      <c r="O14" s="56">
        <f t="shared" si="3"/>
        <v>912.59999999999854</v>
      </c>
      <c r="P14" s="20"/>
      <c r="Q14" s="20"/>
      <c r="R14" s="20"/>
    </row>
    <row r="15" spans="1:18" hidden="1" x14ac:dyDescent="0.2">
      <c r="A15" s="45">
        <v>18.07</v>
      </c>
      <c r="B15" s="29" t="s">
        <v>114</v>
      </c>
      <c r="C15" s="29" t="s">
        <v>115</v>
      </c>
      <c r="D15" s="30">
        <v>1976</v>
      </c>
      <c r="E15" s="30"/>
      <c r="F15" s="31" t="e">
        <f t="shared" si="2"/>
        <v>#VALUE!</v>
      </c>
      <c r="G15" s="29"/>
      <c r="H15" s="29"/>
      <c r="I15" s="29"/>
      <c r="J15" s="29"/>
      <c r="K15" s="29"/>
      <c r="L15" s="29"/>
      <c r="M15" s="29"/>
      <c r="N15" s="44"/>
      <c r="O15" s="46">
        <f t="shared" si="3"/>
        <v>1976</v>
      </c>
    </row>
    <row r="16" spans="1:18" s="57" customFormat="1" hidden="1" x14ac:dyDescent="0.2">
      <c r="A16" s="52">
        <v>18.07</v>
      </c>
      <c r="B16" s="53" t="s">
        <v>116</v>
      </c>
      <c r="C16" s="53" t="s">
        <v>117</v>
      </c>
      <c r="D16" s="55">
        <v>20000</v>
      </c>
      <c r="E16" s="30"/>
      <c r="F16" s="31" t="e">
        <f t="shared" si="2"/>
        <v>#VALUE!</v>
      </c>
      <c r="G16" s="29"/>
      <c r="H16" s="29"/>
      <c r="I16" s="63">
        <v>38300191</v>
      </c>
      <c r="J16" s="63" t="s">
        <v>12</v>
      </c>
      <c r="K16" s="63">
        <v>3690112</v>
      </c>
      <c r="L16" s="63" t="s">
        <v>23</v>
      </c>
      <c r="M16" s="53">
        <v>4502052934</v>
      </c>
      <c r="N16" s="55">
        <v>20000</v>
      </c>
      <c r="O16" s="56">
        <f t="shared" si="3"/>
        <v>0</v>
      </c>
      <c r="P16" s="20"/>
      <c r="Q16" s="20"/>
      <c r="R16" s="20"/>
    </row>
    <row r="17" spans="1:18" s="57" customFormat="1" hidden="1" x14ac:dyDescent="0.2">
      <c r="A17" s="52">
        <v>25.07</v>
      </c>
      <c r="B17" s="53" t="s">
        <v>118</v>
      </c>
      <c r="C17" s="54" t="s">
        <v>119</v>
      </c>
      <c r="D17" s="55">
        <f>3482+49</f>
        <v>3531</v>
      </c>
      <c r="E17" s="30"/>
      <c r="F17" s="31" t="e">
        <f t="shared" si="2"/>
        <v>#VALUE!</v>
      </c>
      <c r="G17" s="29"/>
      <c r="H17" s="29"/>
      <c r="I17" s="41">
        <v>38300105</v>
      </c>
      <c r="J17" s="41" t="s">
        <v>120</v>
      </c>
      <c r="K17" s="41">
        <v>3690102</v>
      </c>
      <c r="L17" s="41" t="s">
        <v>121</v>
      </c>
      <c r="M17" s="53">
        <v>4502056654</v>
      </c>
      <c r="N17" s="55">
        <v>3528.97</v>
      </c>
      <c r="O17" s="56">
        <f t="shared" si="3"/>
        <v>2.0300000000002001</v>
      </c>
      <c r="P17" s="20"/>
      <c r="Q17" s="20"/>
      <c r="R17" s="20"/>
    </row>
    <row r="18" spans="1:18" s="57" customFormat="1" hidden="1" x14ac:dyDescent="0.2">
      <c r="A18" s="52">
        <v>25.07</v>
      </c>
      <c r="B18" s="53" t="s">
        <v>122</v>
      </c>
      <c r="C18" s="53" t="s">
        <v>123</v>
      </c>
      <c r="D18" s="55">
        <f>145000*1.17</f>
        <v>169650</v>
      </c>
      <c r="E18" s="30"/>
      <c r="F18" s="31" t="e">
        <f t="shared" si="2"/>
        <v>#VALUE!</v>
      </c>
      <c r="G18" s="29"/>
      <c r="H18" s="29" t="s">
        <v>88</v>
      </c>
      <c r="I18" s="41">
        <v>38300191</v>
      </c>
      <c r="J18" s="41" t="s">
        <v>12</v>
      </c>
      <c r="K18" s="41">
        <v>3690102</v>
      </c>
      <c r="L18" s="41" t="s">
        <v>121</v>
      </c>
      <c r="M18" s="53">
        <v>4501468518</v>
      </c>
      <c r="N18" s="55">
        <f>145000*1.17</f>
        <v>169650</v>
      </c>
      <c r="O18" s="56">
        <f t="shared" si="3"/>
        <v>0</v>
      </c>
      <c r="P18" s="20"/>
      <c r="Q18" s="20"/>
      <c r="R18" s="20"/>
    </row>
    <row r="19" spans="1:18" s="57" customFormat="1" hidden="1" x14ac:dyDescent="0.2">
      <c r="A19" s="52">
        <v>25.07</v>
      </c>
      <c r="B19" s="53" t="s">
        <v>124</v>
      </c>
      <c r="C19" s="53" t="s">
        <v>125</v>
      </c>
      <c r="D19" s="55">
        <v>18000</v>
      </c>
      <c r="E19" s="30"/>
      <c r="F19" s="31" t="e">
        <f t="shared" si="2"/>
        <v>#VALUE!</v>
      </c>
      <c r="G19" s="29"/>
      <c r="H19" s="29"/>
      <c r="I19" s="63">
        <v>38300191</v>
      </c>
      <c r="J19" s="63" t="s">
        <v>12</v>
      </c>
      <c r="K19" s="63">
        <v>36901024</v>
      </c>
      <c r="L19" s="63" t="s">
        <v>13</v>
      </c>
      <c r="M19" s="53">
        <v>4502056326</v>
      </c>
      <c r="N19" s="55">
        <v>18000</v>
      </c>
      <c r="O19" s="56">
        <f t="shared" si="3"/>
        <v>0</v>
      </c>
      <c r="P19" s="20"/>
      <c r="Q19" s="20"/>
      <c r="R19" s="20"/>
    </row>
    <row r="20" spans="1:18" s="40" customFormat="1" ht="28.5" hidden="1" x14ac:dyDescent="0.2">
      <c r="A20" s="42">
        <v>25.07</v>
      </c>
      <c r="B20" s="43" t="s">
        <v>126</v>
      </c>
      <c r="C20" s="43" t="s">
        <v>127</v>
      </c>
      <c r="D20" s="44">
        <f>750000*1.17</f>
        <v>877500</v>
      </c>
      <c r="E20" s="30"/>
      <c r="F20" s="31" t="e">
        <f t="shared" si="2"/>
        <v>#VALUE!</v>
      </c>
      <c r="G20" s="29" t="s">
        <v>128</v>
      </c>
      <c r="H20" s="29" t="s">
        <v>129</v>
      </c>
      <c r="I20" s="49">
        <v>38300121</v>
      </c>
      <c r="J20" s="49" t="s">
        <v>130</v>
      </c>
      <c r="K20" s="49">
        <v>36901031</v>
      </c>
      <c r="L20" s="49" t="s">
        <v>131</v>
      </c>
      <c r="M20" s="43">
        <v>4501970598</v>
      </c>
      <c r="N20" s="44">
        <v>409500</v>
      </c>
      <c r="O20" s="58">
        <f t="shared" si="3"/>
        <v>468000</v>
      </c>
      <c r="P20" s="20"/>
      <c r="Q20" s="20"/>
      <c r="R20" s="20"/>
    </row>
    <row r="21" spans="1:18" s="57" customFormat="1" ht="28.5" hidden="1" x14ac:dyDescent="0.2">
      <c r="A21" s="52">
        <v>25.07</v>
      </c>
      <c r="B21" s="53" t="s">
        <v>61</v>
      </c>
      <c r="C21" s="63" t="s">
        <v>132</v>
      </c>
      <c r="D21" s="55">
        <v>43021</v>
      </c>
      <c r="E21" s="30"/>
      <c r="F21" s="31" t="e">
        <f t="shared" si="2"/>
        <v>#VALUE!</v>
      </c>
      <c r="G21" s="29"/>
      <c r="H21" s="22" t="s">
        <v>133</v>
      </c>
      <c r="I21" s="41">
        <v>38300191</v>
      </c>
      <c r="J21" s="41" t="s">
        <v>12</v>
      </c>
      <c r="K21" s="41">
        <v>36901027</v>
      </c>
      <c r="L21" s="41" t="s">
        <v>64</v>
      </c>
      <c r="M21" s="63">
        <v>4501692198</v>
      </c>
      <c r="N21" s="55">
        <v>43021</v>
      </c>
      <c r="O21" s="56">
        <f t="shared" si="3"/>
        <v>0</v>
      </c>
      <c r="P21" s="20"/>
      <c r="Q21" s="20"/>
      <c r="R21" s="20"/>
    </row>
    <row r="22" spans="1:18" s="57" customFormat="1" hidden="1" x14ac:dyDescent="0.2">
      <c r="A22" s="52">
        <v>25.07</v>
      </c>
      <c r="B22" s="53" t="s">
        <v>134</v>
      </c>
      <c r="C22" s="53" t="s">
        <v>135</v>
      </c>
      <c r="D22" s="55">
        <v>100000</v>
      </c>
      <c r="E22" s="30"/>
      <c r="F22" s="31" t="e">
        <f t="shared" si="2"/>
        <v>#VALUE!</v>
      </c>
      <c r="G22" s="29"/>
      <c r="H22" s="29" t="s">
        <v>136</v>
      </c>
      <c r="I22" s="63">
        <v>38300191</v>
      </c>
      <c r="J22" s="63" t="s">
        <v>12</v>
      </c>
      <c r="K22" s="63">
        <v>3690112</v>
      </c>
      <c r="L22" s="63" t="s">
        <v>23</v>
      </c>
      <c r="M22" s="53">
        <v>4502056655</v>
      </c>
      <c r="N22" s="55">
        <v>100000</v>
      </c>
      <c r="O22" s="56">
        <f t="shared" si="3"/>
        <v>0</v>
      </c>
      <c r="P22" s="20"/>
      <c r="Q22" s="20"/>
      <c r="R22" s="20"/>
    </row>
    <row r="23" spans="1:18" s="57" customFormat="1" hidden="1" x14ac:dyDescent="0.2">
      <c r="A23" s="52">
        <v>25.07</v>
      </c>
      <c r="B23" s="53" t="s">
        <v>137</v>
      </c>
      <c r="C23" s="53" t="s">
        <v>138</v>
      </c>
      <c r="D23" s="55">
        <f>237600*1.17</f>
        <v>277992</v>
      </c>
      <c r="E23" s="30"/>
      <c r="F23" s="31" t="e">
        <f t="shared" si="2"/>
        <v>#VALUE!</v>
      </c>
      <c r="G23" s="29"/>
      <c r="H23" s="29" t="s">
        <v>136</v>
      </c>
      <c r="I23" s="63">
        <v>38300191</v>
      </c>
      <c r="J23" s="63" t="s">
        <v>12</v>
      </c>
      <c r="K23" s="63">
        <v>36901021</v>
      </c>
      <c r="L23" s="63" t="s">
        <v>15</v>
      </c>
      <c r="M23" s="53">
        <v>4501791770</v>
      </c>
      <c r="N23" s="55">
        <v>276822</v>
      </c>
      <c r="O23" s="56">
        <f t="shared" si="3"/>
        <v>1170</v>
      </c>
      <c r="P23" s="20"/>
      <c r="Q23" s="20"/>
      <c r="R23" s="20"/>
    </row>
    <row r="24" spans="1:18" s="57" customFormat="1" hidden="1" x14ac:dyDescent="0.2">
      <c r="A24" s="52">
        <v>26.07</v>
      </c>
      <c r="B24" s="53" t="s">
        <v>139</v>
      </c>
      <c r="C24" s="65" t="s">
        <v>140</v>
      </c>
      <c r="D24" s="55">
        <v>8101</v>
      </c>
      <c r="E24" s="30"/>
      <c r="F24" s="31" t="e">
        <f t="shared" si="2"/>
        <v>#VALUE!</v>
      </c>
      <c r="G24" s="29"/>
      <c r="H24" s="29"/>
      <c r="I24" s="63">
        <v>38300191</v>
      </c>
      <c r="J24" s="63" t="s">
        <v>12</v>
      </c>
      <c r="K24" s="63">
        <v>36901024</v>
      </c>
      <c r="L24" s="63" t="s">
        <v>13</v>
      </c>
      <c r="M24" s="53">
        <v>4502058620</v>
      </c>
      <c r="N24" s="55">
        <v>8101.08</v>
      </c>
      <c r="O24" s="56">
        <f t="shared" si="3"/>
        <v>-7.999999999992724E-2</v>
      </c>
      <c r="P24" s="20"/>
      <c r="Q24" s="20"/>
      <c r="R24" s="20"/>
    </row>
    <row r="25" spans="1:18" s="57" customFormat="1" hidden="1" x14ac:dyDescent="0.2">
      <c r="A25" s="52">
        <v>29.07</v>
      </c>
      <c r="B25" s="53" t="s">
        <v>141</v>
      </c>
      <c r="C25" s="53" t="s">
        <v>142</v>
      </c>
      <c r="D25" s="64">
        <v>8242</v>
      </c>
      <c r="E25" s="30"/>
      <c r="F25" s="31" t="e">
        <f t="shared" si="2"/>
        <v>#VALUE!</v>
      </c>
      <c r="G25" s="29"/>
      <c r="H25" s="29"/>
      <c r="I25" s="63">
        <v>38300191</v>
      </c>
      <c r="J25" s="63" t="s">
        <v>12</v>
      </c>
      <c r="K25" s="63">
        <v>36901022</v>
      </c>
      <c r="L25" s="63" t="s">
        <v>16</v>
      </c>
      <c r="M25" s="53">
        <v>4502058624</v>
      </c>
      <c r="N25" s="55">
        <v>8424</v>
      </c>
      <c r="O25" s="56">
        <f t="shared" si="3"/>
        <v>-182</v>
      </c>
      <c r="P25" s="20"/>
      <c r="Q25" s="20"/>
      <c r="R25" s="20"/>
    </row>
    <row r="26" spans="1:18" s="57" customFormat="1" hidden="1" x14ac:dyDescent="0.2">
      <c r="A26" s="52">
        <v>29.07</v>
      </c>
      <c r="B26" s="53" t="s">
        <v>143</v>
      </c>
      <c r="C26" s="54" t="s">
        <v>144</v>
      </c>
      <c r="D26" s="55">
        <f>15100*1.17</f>
        <v>17667</v>
      </c>
      <c r="E26" s="30"/>
      <c r="F26" s="31" t="e">
        <f t="shared" si="2"/>
        <v>#VALUE!</v>
      </c>
      <c r="G26" s="29"/>
      <c r="H26" s="29"/>
      <c r="I26" s="63">
        <v>38300191</v>
      </c>
      <c r="J26" s="63" t="s">
        <v>12</v>
      </c>
      <c r="K26" s="63">
        <v>3690112</v>
      </c>
      <c r="L26" s="63" t="s">
        <v>23</v>
      </c>
      <c r="M26" s="53">
        <v>4502058631</v>
      </c>
      <c r="N26" s="55">
        <v>17667</v>
      </c>
      <c r="O26" s="56">
        <f t="shared" si="3"/>
        <v>0</v>
      </c>
      <c r="P26" s="20"/>
      <c r="Q26" s="20"/>
      <c r="R26" s="20"/>
    </row>
    <row r="27" spans="1:18" s="57" customFormat="1" ht="28.5" hidden="1" x14ac:dyDescent="0.2">
      <c r="A27" s="52">
        <v>29.07</v>
      </c>
      <c r="B27" s="53" t="s">
        <v>145</v>
      </c>
      <c r="C27" s="53" t="s">
        <v>146</v>
      </c>
      <c r="D27" s="55">
        <v>171873</v>
      </c>
      <c r="E27" s="30"/>
      <c r="F27" s="31" t="e">
        <f t="shared" si="2"/>
        <v>#VALUE!</v>
      </c>
      <c r="G27" s="29"/>
      <c r="H27" s="29" t="s">
        <v>147</v>
      </c>
      <c r="I27" s="63">
        <v>38300191</v>
      </c>
      <c r="J27" s="63" t="s">
        <v>12</v>
      </c>
      <c r="K27" s="63">
        <v>36901021</v>
      </c>
      <c r="L27" s="63" t="s">
        <v>15</v>
      </c>
      <c r="M27" s="53">
        <v>4502057989</v>
      </c>
      <c r="N27" s="55">
        <v>171873</v>
      </c>
      <c r="O27" s="56">
        <f t="shared" si="3"/>
        <v>0</v>
      </c>
      <c r="P27" s="20"/>
      <c r="Q27" s="20"/>
      <c r="R27" s="20"/>
    </row>
    <row r="28" spans="1:18" s="57" customFormat="1" hidden="1" x14ac:dyDescent="0.2">
      <c r="A28" s="52">
        <v>29.07</v>
      </c>
      <c r="B28" s="53" t="s">
        <v>148</v>
      </c>
      <c r="C28" s="53" t="s">
        <v>149</v>
      </c>
      <c r="D28" s="55">
        <f>20000*1.17</f>
        <v>23400</v>
      </c>
      <c r="E28" s="30"/>
      <c r="F28" s="31" t="e">
        <f t="shared" si="2"/>
        <v>#VALUE!</v>
      </c>
      <c r="G28" s="29"/>
      <c r="H28" s="29"/>
      <c r="I28" s="63">
        <v>38300191</v>
      </c>
      <c r="J28" s="63" t="s">
        <v>12</v>
      </c>
      <c r="K28" s="63">
        <v>36901024</v>
      </c>
      <c r="L28" s="63" t="s">
        <v>13</v>
      </c>
      <c r="M28" s="53">
        <v>4502015299</v>
      </c>
      <c r="N28" s="55">
        <v>23400</v>
      </c>
      <c r="O28" s="56">
        <f t="shared" si="3"/>
        <v>0</v>
      </c>
      <c r="P28" s="20"/>
      <c r="Q28" s="20"/>
      <c r="R28" s="20"/>
    </row>
    <row r="29" spans="1:18" x14ac:dyDescent="0.2">
      <c r="A29" s="45"/>
      <c r="B29" s="29"/>
      <c r="C29" s="29"/>
      <c r="D29" s="30"/>
      <c r="E29" s="30"/>
      <c r="F29" s="31"/>
      <c r="G29" s="29"/>
      <c r="H29" s="29"/>
      <c r="I29" s="60"/>
      <c r="J29" s="60"/>
      <c r="K29" s="60"/>
      <c r="L29" s="60"/>
      <c r="M29" s="29"/>
      <c r="N29" s="44">
        <f>SUBTOTAL(109,Table1[שווי שורה/ הגדלה ])</f>
        <v>227506.62</v>
      </c>
      <c r="O29" s="6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8"/>
  <sheetViews>
    <sheetView rightToLeft="1" zoomScale="90" zoomScaleNormal="90" workbookViewId="0">
      <pane ySplit="1" topLeftCell="A2" activePane="bottomLeft" state="frozen"/>
      <selection pane="bottomLeft" activeCell="A10" sqref="A10"/>
    </sheetView>
  </sheetViews>
  <sheetFormatPr defaultRowHeight="14.25" x14ac:dyDescent="0.2"/>
  <cols>
    <col min="2" max="2" width="12.125" customWidth="1"/>
    <col min="3" max="3" width="47.75" customWidth="1"/>
    <col min="4" max="4" width="14.875" style="21" customWidth="1"/>
    <col min="5" max="5" width="14.125" customWidth="1"/>
    <col min="6" max="6" width="14.75" style="21" bestFit="1" customWidth="1"/>
    <col min="7" max="7" width="15.875" style="21" customWidth="1"/>
    <col min="8" max="8" width="15.875" customWidth="1"/>
    <col min="9" max="9" width="12.375" bestFit="1" customWidth="1"/>
    <col min="10" max="10" width="14.125" bestFit="1" customWidth="1"/>
  </cols>
  <sheetData>
    <row r="1" spans="1:10" s="13" customFormat="1" ht="28.5" x14ac:dyDescent="0.2">
      <c r="A1" s="13" t="s">
        <v>17</v>
      </c>
      <c r="B1" s="13" t="s">
        <v>18</v>
      </c>
      <c r="C1" s="13" t="s">
        <v>19</v>
      </c>
      <c r="D1" s="23" t="s">
        <v>20</v>
      </c>
      <c r="E1" s="13" t="s">
        <v>21</v>
      </c>
      <c r="F1" s="23" t="s">
        <v>22</v>
      </c>
      <c r="G1" s="23" t="s">
        <v>24</v>
      </c>
      <c r="H1" s="13" t="s">
        <v>28</v>
      </c>
      <c r="I1" s="13" t="s">
        <v>29</v>
      </c>
      <c r="J1" s="13" t="s">
        <v>30</v>
      </c>
    </row>
    <row r="2" spans="1:10" ht="57" x14ac:dyDescent="0.2">
      <c r="A2">
        <v>34637</v>
      </c>
      <c r="B2" t="s">
        <v>26</v>
      </c>
      <c r="C2" s="20" t="s">
        <v>31</v>
      </c>
      <c r="D2" s="21">
        <v>5800000</v>
      </c>
      <c r="E2" t="s">
        <v>14</v>
      </c>
      <c r="F2" s="21">
        <v>5800000</v>
      </c>
      <c r="G2" s="21">
        <f>[1]!טבלה3[[#This Row],[סכום מבוקש]]-[1]!טבלה3[[#This Row],[סכום מאושר]]</f>
        <v>0</v>
      </c>
      <c r="H2" s="21"/>
      <c r="I2" s="21"/>
      <c r="J2" s="21">
        <f>[2]!טבלה3[[#This Row],[סכום מאושר]]-[2]!טבלה3[[#This Row],[ניצול מתוך הפנייה ]]</f>
        <v>5800000</v>
      </c>
    </row>
    <row r="3" spans="1:10" ht="28.5" x14ac:dyDescent="0.2">
      <c r="A3">
        <v>34657</v>
      </c>
      <c r="B3" t="s">
        <v>27</v>
      </c>
      <c r="C3" s="20" t="s">
        <v>32</v>
      </c>
      <c r="D3" s="21">
        <v>7500000</v>
      </c>
      <c r="E3" t="s">
        <v>14</v>
      </c>
      <c r="F3" s="21">
        <v>7500000</v>
      </c>
      <c r="G3" s="21">
        <f>[1]!טבלה3[[#This Row],[סכום מבוקש]]-[1]!טבלה3[[#This Row],[סכום מאושר]]</f>
        <v>0</v>
      </c>
      <c r="H3" s="21"/>
      <c r="I3" s="21">
        <f>'[3]2021'!$N$45</f>
        <v>2949415.3800000004</v>
      </c>
      <c r="J3" s="21">
        <f>[2]!טבלה3[[#This Row],[סכום מאושר]]-[2]!טבלה3[[#This Row],[ניצול מתוך הפנייה ]]</f>
        <v>4550584.6199999992</v>
      </c>
    </row>
    <row r="4" spans="1:10" x14ac:dyDescent="0.2">
      <c r="A4">
        <v>34803</v>
      </c>
      <c r="B4" t="s">
        <v>33</v>
      </c>
      <c r="C4" t="s">
        <v>34</v>
      </c>
      <c r="D4" s="21">
        <v>27500000</v>
      </c>
      <c r="E4" t="s">
        <v>14</v>
      </c>
      <c r="F4" s="21">
        <v>27500000</v>
      </c>
      <c r="G4" s="21">
        <f>[1]!טבלה3[[#This Row],[סכום מבוקש]]-[1]!טבלה3[[#This Row],[סכום מאושר]]</f>
        <v>0</v>
      </c>
      <c r="H4" s="21"/>
      <c r="I4" s="21">
        <f>'[4]חישובי יתרה'!$D$21</f>
        <v>5630872.7412999999</v>
      </c>
      <c r="J4" s="21">
        <f>[2]!טבלה3[[#This Row],[סכום מאושר]]-[2]!טבלה3[[#This Row],[ניצול מתוך הפנייה ]]</f>
        <v>21869127.258699998</v>
      </c>
    </row>
    <row r="5" spans="1:10" ht="42.75" x14ac:dyDescent="0.2">
      <c r="A5">
        <v>34894</v>
      </c>
      <c r="B5" t="s">
        <v>35</v>
      </c>
      <c r="C5" s="20" t="s">
        <v>36</v>
      </c>
      <c r="D5" s="21">
        <v>175500</v>
      </c>
      <c r="E5" t="s">
        <v>37</v>
      </c>
      <c r="G5" s="21">
        <f>[1]!טבלה3[[#This Row],[סכום מבוקש]]-[1]!טבלה3[[#This Row],[סכום מאושר]]</f>
        <v>175500</v>
      </c>
      <c r="H5" s="24" t="s">
        <v>38</v>
      </c>
      <c r="I5" s="21"/>
      <c r="J5" s="21">
        <f>[2]!טבלה3[[#This Row],[סכום מאושר]]-[2]!טבלה3[[#This Row],[ניצול מתוך הפנייה ]]</f>
        <v>0</v>
      </c>
    </row>
    <row r="6" spans="1:10" ht="85.5" x14ac:dyDescent="0.2">
      <c r="A6">
        <v>35092</v>
      </c>
      <c r="B6" t="s">
        <v>39</v>
      </c>
      <c r="C6" s="20" t="s">
        <v>40</v>
      </c>
      <c r="D6" s="21">
        <v>527700000</v>
      </c>
      <c r="E6" t="s">
        <v>14</v>
      </c>
      <c r="F6" s="21">
        <f>טבלה3[[#This Row],[סכום מבוקש]]</f>
        <v>527700000</v>
      </c>
      <c r="G6" s="21">
        <f>[1]!טבלה3[[#This Row],[סכום מבוקש]]-[1]!טבלה3[[#This Row],[סכום מאושר]]</f>
        <v>0</v>
      </c>
      <c r="H6" s="20" t="s">
        <v>41</v>
      </c>
      <c r="I6" s="21"/>
      <c r="J6" s="21">
        <f>[2]!טבלה3[[#This Row],[סכום מאושר]]-[2]!טבלה3[[#This Row],[ניצול מתוך הפנייה ]]</f>
        <v>527700000</v>
      </c>
    </row>
    <row r="7" spans="1:10" ht="28.5" x14ac:dyDescent="0.2">
      <c r="A7">
        <v>35254</v>
      </c>
      <c r="B7" t="s">
        <v>42</v>
      </c>
      <c r="C7" s="27" t="s">
        <v>43</v>
      </c>
      <c r="D7" s="21">
        <v>415584</v>
      </c>
      <c r="E7" t="s">
        <v>14</v>
      </c>
      <c r="F7" s="21">
        <f>טבלה3[[#This Row],[סכום מבוקש]]</f>
        <v>415584</v>
      </c>
      <c r="G7" s="21">
        <f>[1]!טבלה3[[#This Row],[סכום מבוקש]]-[1]!טבלה3[[#This Row],[סכום מאושר]]</f>
        <v>0</v>
      </c>
      <c r="H7" s="28" t="s">
        <v>44</v>
      </c>
      <c r="I7" s="21"/>
      <c r="J7" s="21">
        <f>[2]!טבלה3[[#This Row],[סכום מאושר]]-[2]!טבלה3[[#This Row],[ניצול מתוך הפנייה ]]</f>
        <v>415584</v>
      </c>
    </row>
    <row r="8" spans="1:10" ht="85.5" x14ac:dyDescent="0.2">
      <c r="A8">
        <v>35320</v>
      </c>
      <c r="B8" t="s">
        <v>45</v>
      </c>
      <c r="C8" s="27" t="s">
        <v>46</v>
      </c>
      <c r="D8" s="21">
        <v>150000</v>
      </c>
      <c r="E8" t="s">
        <v>14</v>
      </c>
      <c r="F8" s="21">
        <f>טבלה3[[#This Row],[סכום מבוקש]]</f>
        <v>150000</v>
      </c>
      <c r="G8" s="21">
        <f>[1]!טבלה3[[#This Row],[סכום מבוקש]]-[1]!טבלה3[[#This Row],[סכום מאושר]]</f>
        <v>0</v>
      </c>
      <c r="H8" s="21"/>
      <c r="I8" s="21"/>
      <c r="J8" s="21">
        <f>[2]!טבלה3[[#This Row],[סכום מאושר]]-[2]!טבלה3[[#This Row],[ניצול מתוך הפנייה ]]</f>
        <v>150000</v>
      </c>
    </row>
    <row r="9" spans="1:10" ht="28.5" x14ac:dyDescent="0.2">
      <c r="A9">
        <v>35363</v>
      </c>
      <c r="B9" t="s">
        <v>47</v>
      </c>
      <c r="C9" s="20" t="s">
        <v>48</v>
      </c>
      <c r="D9" s="21">
        <v>234000</v>
      </c>
      <c r="E9" t="s">
        <v>14</v>
      </c>
      <c r="F9" s="21">
        <f>טבלה3[[#This Row],[סכום מבוקש]]</f>
        <v>234000</v>
      </c>
      <c r="H9" s="21"/>
      <c r="I9" s="21"/>
      <c r="J9" s="21">
        <f>[2]!טבלה3[[#This Row],[סכום מאושר]]-[2]!טבלה3[[#This Row],[ניצול מתוך הפנייה ]]</f>
        <v>234000</v>
      </c>
    </row>
    <row r="10" spans="1:10" x14ac:dyDescent="0.2">
      <c r="A10">
        <v>36094</v>
      </c>
      <c r="B10" t="s">
        <v>63</v>
      </c>
      <c r="C10" t="s">
        <v>66</v>
      </c>
      <c r="D10" s="21">
        <v>877500</v>
      </c>
      <c r="E10" t="s">
        <v>14</v>
      </c>
      <c r="F10" s="21">
        <v>877500</v>
      </c>
      <c r="H10" s="21"/>
      <c r="I10" s="21"/>
      <c r="J10" s="21">
        <f>[2]!טבלה3[[#This Row],[סכום מאושר]]-[2]!טבלה3[[#This Row],[ניצול מתוך הפנייה ]]</f>
        <v>877500</v>
      </c>
    </row>
    <row r="11" spans="1:10" x14ac:dyDescent="0.2">
      <c r="A11" s="47">
        <v>36386</v>
      </c>
      <c r="B11" t="s">
        <v>109</v>
      </c>
      <c r="C11" t="s">
        <v>150</v>
      </c>
      <c r="D11" s="21">
        <v>526500</v>
      </c>
      <c r="E11" t="s">
        <v>37</v>
      </c>
      <c r="F11" s="21">
        <v>526500</v>
      </c>
      <c r="H11" s="21"/>
      <c r="I11" s="21"/>
      <c r="J11" s="21">
        <f>[2]!טבלה3[[#This Row],[סכום מאושר]]-[2]!טבלה3[[#This Row],[ניצול מתוך הפנייה ]]</f>
        <v>0</v>
      </c>
    </row>
    <row r="12" spans="1:10" x14ac:dyDescent="0.2">
      <c r="H12" s="21"/>
      <c r="I12" s="21"/>
      <c r="J12" s="21"/>
    </row>
    <row r="13" spans="1:10" x14ac:dyDescent="0.2">
      <c r="H13" s="21"/>
      <c r="I13" s="21"/>
      <c r="J13" s="21"/>
    </row>
    <row r="14" spans="1:10" x14ac:dyDescent="0.2">
      <c r="H14" s="21"/>
      <c r="I14" s="21"/>
      <c r="J14" s="21"/>
    </row>
    <row r="15" spans="1:10" x14ac:dyDescent="0.2">
      <c r="H15" s="21"/>
      <c r="I15" s="21"/>
      <c r="J15" s="21"/>
    </row>
    <row r="16" spans="1:10" x14ac:dyDescent="0.2">
      <c r="H16" s="21"/>
      <c r="I16" s="21"/>
      <c r="J16" s="21"/>
    </row>
    <row r="17" spans="8:10" x14ac:dyDescent="0.2">
      <c r="H17" s="21"/>
      <c r="I17" s="21"/>
      <c r="J17" s="21"/>
    </row>
    <row r="18" spans="8:10" x14ac:dyDescent="0.2">
      <c r="H18" s="21"/>
      <c r="I18" s="21"/>
      <c r="J18" s="21"/>
    </row>
    <row r="19" spans="8:10" x14ac:dyDescent="0.2">
      <c r="H19" s="21"/>
      <c r="I19" s="21"/>
      <c r="J19" s="21"/>
    </row>
    <row r="20" spans="8:10" x14ac:dyDescent="0.2">
      <c r="H20" s="21"/>
      <c r="I20" s="21"/>
      <c r="J20" s="21"/>
    </row>
    <row r="21" spans="8:10" x14ac:dyDescent="0.2">
      <c r="H21" s="21"/>
      <c r="I21" s="21"/>
      <c r="J21" s="21"/>
    </row>
    <row r="22" spans="8:10" x14ac:dyDescent="0.2">
      <c r="H22" s="21"/>
      <c r="I22" s="21"/>
      <c r="J22" s="21"/>
    </row>
    <row r="23" spans="8:10" x14ac:dyDescent="0.2">
      <c r="H23" s="21"/>
      <c r="I23" s="21"/>
      <c r="J23" s="21"/>
    </row>
    <row r="24" spans="8:10" x14ac:dyDescent="0.2">
      <c r="H24" s="21"/>
      <c r="I24" s="21"/>
      <c r="J24" s="21"/>
    </row>
    <row r="25" spans="8:10" x14ac:dyDescent="0.2">
      <c r="H25" s="21"/>
      <c r="I25" s="21"/>
      <c r="J25" s="21"/>
    </row>
    <row r="26" spans="8:10" x14ac:dyDescent="0.2">
      <c r="H26" s="21"/>
      <c r="I26" s="21"/>
      <c r="J26" s="21"/>
    </row>
    <row r="27" spans="8:10" x14ac:dyDescent="0.2">
      <c r="H27" s="21"/>
      <c r="I27" s="21"/>
      <c r="J27" s="21"/>
    </row>
    <row r="28" spans="8:10" x14ac:dyDescent="0.2">
      <c r="H28" s="21"/>
      <c r="I28" s="21"/>
      <c r="J28" s="21"/>
    </row>
    <row r="29" spans="8:10" x14ac:dyDescent="0.2">
      <c r="H29" s="21"/>
      <c r="I29" s="21"/>
      <c r="J29" s="21"/>
    </row>
    <row r="30" spans="8:10" x14ac:dyDescent="0.2">
      <c r="H30" s="21"/>
      <c r="I30" s="21"/>
      <c r="J30" s="21"/>
    </row>
    <row r="31" spans="8:10" x14ac:dyDescent="0.2">
      <c r="H31" s="21"/>
      <c r="I31" s="21"/>
      <c r="J31" s="21"/>
    </row>
    <row r="32" spans="8:10" x14ac:dyDescent="0.2">
      <c r="H32" s="21"/>
      <c r="I32" s="21"/>
      <c r="J32" s="21"/>
    </row>
    <row r="33" spans="8:10" x14ac:dyDescent="0.2">
      <c r="H33" s="21"/>
      <c r="I33" s="21"/>
      <c r="J33" s="21"/>
    </row>
    <row r="34" spans="8:10" x14ac:dyDescent="0.2">
      <c r="H34" s="21"/>
      <c r="I34" s="21"/>
      <c r="J34" s="21"/>
    </row>
    <row r="35" spans="8:10" x14ac:dyDescent="0.2">
      <c r="H35" s="21"/>
      <c r="I35" s="21"/>
      <c r="J35" s="21"/>
    </row>
    <row r="36" spans="8:10" x14ac:dyDescent="0.2">
      <c r="H36" s="21"/>
      <c r="I36" s="21"/>
      <c r="J36" s="21"/>
    </row>
    <row r="37" spans="8:10" x14ac:dyDescent="0.2">
      <c r="H37" s="21"/>
      <c r="I37" s="21"/>
      <c r="J37" s="21"/>
    </row>
    <row r="38" spans="8:10" x14ac:dyDescent="0.2">
      <c r="H38" s="21"/>
      <c r="I38" s="21"/>
      <c r="J38" s="2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73DD-E16A-4395-8696-4AB4A114C2A3}">
  <dimension ref="A1:F20"/>
  <sheetViews>
    <sheetView rightToLeft="1" tabSelected="1" workbookViewId="0">
      <pane xSplit="4" ySplit="7" topLeftCell="E8" activePane="bottomRight" state="frozen"/>
      <selection pane="topRight" activeCell="E1" sqref="E1"/>
      <selection pane="bottomLeft" activeCell="A8" sqref="A8"/>
      <selection pane="bottomRight" activeCell="C25" sqref="C25"/>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7" t="s">
        <v>151</v>
      </c>
      <c r="F2"/>
    </row>
    <row r="3" spans="1:6" s="3" customFormat="1" ht="15.75" x14ac:dyDescent="0.25">
      <c r="C3" s="19"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152</v>
      </c>
      <c r="D6" s="11"/>
      <c r="F6"/>
    </row>
    <row r="7" spans="1:6" ht="28.5" x14ac:dyDescent="0.2">
      <c r="A7" s="12" t="s">
        <v>2</v>
      </c>
      <c r="B7" s="12" t="s">
        <v>3</v>
      </c>
      <c r="C7" s="12" t="s">
        <v>4</v>
      </c>
      <c r="D7" s="13" t="s">
        <v>5</v>
      </c>
    </row>
    <row r="8" spans="1:6" s="16" customFormat="1" ht="15" x14ac:dyDescent="0.25">
      <c r="A8" s="14">
        <v>1</v>
      </c>
      <c r="B8" s="15"/>
      <c r="C8" s="15" t="s">
        <v>164</v>
      </c>
      <c r="D8" s="26">
        <v>3529</v>
      </c>
    </row>
    <row r="9" spans="1:6" s="16" customFormat="1" ht="15" x14ac:dyDescent="0.25">
      <c r="A9" s="14">
        <v>2</v>
      </c>
      <c r="B9" s="15"/>
      <c r="C9" s="15" t="s">
        <v>142</v>
      </c>
      <c r="D9" s="26">
        <v>8424</v>
      </c>
    </row>
    <row r="10" spans="1:6" s="16" customFormat="1" ht="15" x14ac:dyDescent="0.25">
      <c r="A10" s="14">
        <v>3</v>
      </c>
      <c r="B10" s="15"/>
      <c r="C10" s="15" t="s">
        <v>158</v>
      </c>
      <c r="D10" s="26">
        <v>32397</v>
      </c>
    </row>
    <row r="11" spans="1:6" s="16" customFormat="1" ht="15" x14ac:dyDescent="0.25">
      <c r="A11" s="14">
        <v>4</v>
      </c>
      <c r="B11" s="15"/>
      <c r="C11" s="15" t="s">
        <v>162</v>
      </c>
      <c r="D11" s="26">
        <v>43021</v>
      </c>
    </row>
    <row r="12" spans="1:6" s="16" customFormat="1" ht="15" x14ac:dyDescent="0.25">
      <c r="A12" s="14">
        <v>5</v>
      </c>
      <c r="B12" s="15"/>
      <c r="C12" s="15" t="s">
        <v>161</v>
      </c>
      <c r="D12" s="26">
        <v>61600.5</v>
      </c>
    </row>
    <row r="13" spans="1:6" s="16" customFormat="1" ht="15" x14ac:dyDescent="0.25">
      <c r="A13" s="14">
        <v>6</v>
      </c>
      <c r="B13" s="25"/>
      <c r="C13" s="25" t="s">
        <v>160</v>
      </c>
      <c r="D13" s="26">
        <v>89561.48</v>
      </c>
    </row>
    <row r="14" spans="1:6" s="16" customFormat="1" ht="15" x14ac:dyDescent="0.25">
      <c r="A14" s="14">
        <v>7</v>
      </c>
      <c r="B14" s="15"/>
      <c r="C14" s="15" t="s">
        <v>159</v>
      </c>
      <c r="D14" s="26">
        <f>'דוח החרגות'!N27</f>
        <v>171873</v>
      </c>
    </row>
    <row r="15" spans="1:6" s="16" customFormat="1" ht="15" x14ac:dyDescent="0.25">
      <c r="A15" s="14">
        <v>8</v>
      </c>
      <c r="B15" s="15"/>
      <c r="C15" s="18" t="s">
        <v>157</v>
      </c>
      <c r="D15" s="26">
        <v>178764</v>
      </c>
    </row>
    <row r="16" spans="1:6" ht="15" x14ac:dyDescent="0.25">
      <c r="A16" s="14">
        <v>9</v>
      </c>
      <c r="B16" s="25"/>
      <c r="C16" s="25" t="s">
        <v>163</v>
      </c>
      <c r="D16" s="26">
        <v>227506.62</v>
      </c>
    </row>
    <row r="17" spans="1:4" ht="30" x14ac:dyDescent="0.25">
      <c r="A17" s="14">
        <v>10</v>
      </c>
      <c r="B17" s="15"/>
      <c r="C17" s="15" t="s">
        <v>153</v>
      </c>
      <c r="D17" s="26">
        <v>409500</v>
      </c>
    </row>
    <row r="18" spans="1:4" s="16" customFormat="1" ht="15" x14ac:dyDescent="0.25">
      <c r="A18" s="14">
        <v>11</v>
      </c>
      <c r="B18" s="15"/>
      <c r="C18" s="15" t="s">
        <v>156</v>
      </c>
      <c r="D18" s="26">
        <f>169650+'דוח החרגות'!N23</f>
        <v>446472</v>
      </c>
    </row>
    <row r="19" spans="1:4" s="16" customFormat="1" ht="15" x14ac:dyDescent="0.25">
      <c r="A19" s="14">
        <v>12</v>
      </c>
      <c r="B19" s="15"/>
      <c r="C19" s="15" t="s">
        <v>154</v>
      </c>
      <c r="D19" s="26">
        <v>3400000</v>
      </c>
    </row>
    <row r="20" spans="1:4" ht="15" x14ac:dyDescent="0.25">
      <c r="A20" s="48"/>
      <c r="B20" s="25"/>
      <c r="C20" s="25"/>
      <c r="D20" s="50">
        <f>SUBTOTAL(109,Table1332323235242424[סכום ההתקשרות (סכום ההתקשרות ולא סכום המזומן)])</f>
        <v>5072648.5999999996</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יוני</vt:lpstr>
      <vt:lpstr>דוח החרגות</vt:lpstr>
      <vt:lpstr>דוח פניות לאוצר 2021</vt:lpstr>
      <vt:lpstr>יולי</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2021-08-15T10:41:42Z</dcterms:modified>
  <cp:category/>
</cp:coreProperties>
</file>